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2280" yWindow="1215" windowWidth="12120" windowHeight="6525"/>
  </bookViews>
  <sheets>
    <sheet name="Majątkowe" sheetId="47" r:id="rId1"/>
    <sheet name="Analizy WPF" sheetId="49" r:id="rId2"/>
  </sheets>
  <definedNames>
    <definedName name="_xlnm._FilterDatabase" localSheetId="0" hidden="1">Majątkowe!$A$5:$P$213</definedName>
    <definedName name="_xlnm.Print_Area" localSheetId="0">Majątkowe!$D$1:$L$135</definedName>
    <definedName name="_xlnm.Print_Titles" localSheetId="0">Majątkowe!$1:$6</definedName>
  </definedNames>
  <calcPr calcId="125725"/>
</workbook>
</file>

<file path=xl/calcChain.xml><?xml version="1.0" encoding="utf-8"?>
<calcChain xmlns="http://schemas.openxmlformats.org/spreadsheetml/2006/main">
  <c r="M99" i="47"/>
  <c r="I99" l="1"/>
  <c r="L99" l="1"/>
  <c r="A123" l="1"/>
  <c r="A124"/>
  <c r="A125"/>
  <c r="A126"/>
  <c r="A127"/>
  <c r="A128"/>
  <c r="A129"/>
  <c r="A130"/>
  <c r="C127"/>
  <c r="C128"/>
  <c r="C129"/>
  <c r="I28" l="1"/>
  <c r="O28"/>
  <c r="N28"/>
  <c r="I81" l="1"/>
  <c r="J33" l="1"/>
  <c r="I98" l="1"/>
  <c r="I76" l="1"/>
  <c r="I16" l="1"/>
  <c r="I126" l="1"/>
  <c r="J16" l="1"/>
  <c r="C26"/>
  <c r="C27"/>
  <c r="A26"/>
  <c r="L119" l="1"/>
  <c r="I119"/>
  <c r="A97"/>
  <c r="C97"/>
  <c r="A98"/>
  <c r="C98"/>
  <c r="I100"/>
  <c r="I89"/>
  <c r="I52"/>
  <c r="L125"/>
  <c r="I125"/>
  <c r="A120" l="1"/>
  <c r="C120"/>
  <c r="A121"/>
  <c r="C121"/>
  <c r="I129" l="1"/>
  <c r="I50"/>
  <c r="I48" l="1"/>
  <c r="I31"/>
  <c r="I29"/>
  <c r="I79"/>
  <c r="C13" l="1"/>
  <c r="C14"/>
  <c r="C15"/>
  <c r="A13"/>
  <c r="A14"/>
  <c r="A15"/>
  <c r="I122" l="1"/>
  <c r="I121"/>
  <c r="I84"/>
  <c r="I88"/>
  <c r="I42"/>
  <c r="I43"/>
  <c r="I226" l="1"/>
  <c r="I224"/>
  <c r="B3" l="1"/>
  <c r="I82" l="1"/>
  <c r="C29" l="1"/>
  <c r="C30"/>
  <c r="A29"/>
  <c r="A30"/>
  <c r="A31"/>
  <c r="C17" l="1"/>
  <c r="C18"/>
  <c r="C19"/>
  <c r="A17"/>
  <c r="A18"/>
  <c r="A19"/>
  <c r="C34" l="1"/>
  <c r="A34"/>
  <c r="A35"/>
  <c r="A36"/>
  <c r="I20" l="1"/>
  <c r="I21" l="1"/>
  <c r="C20"/>
  <c r="A20"/>
  <c r="L134" l="1"/>
  <c r="I134"/>
  <c r="C130"/>
  <c r="C131"/>
  <c r="C132"/>
  <c r="C133"/>
  <c r="A131"/>
  <c r="A132"/>
  <c r="A133"/>
  <c r="A134"/>
  <c r="A135"/>
  <c r="I22"/>
  <c r="I53"/>
  <c r="D10"/>
  <c r="D11" l="1"/>
  <c r="C134"/>
  <c r="I31" i="49"/>
  <c r="I116" i="47" l="1"/>
  <c r="I115"/>
  <c r="I114"/>
  <c r="I112"/>
  <c r="I111"/>
  <c r="I40" l="1"/>
  <c r="C28" l="1"/>
  <c r="A27"/>
  <c r="A28"/>
  <c r="L219" l="1"/>
  <c r="I96" l="1"/>
  <c r="C96"/>
  <c r="I95"/>
  <c r="C95"/>
  <c r="C99"/>
  <c r="A96"/>
  <c r="A99"/>
  <c r="A100"/>
  <c r="I41" l="1"/>
  <c r="I51"/>
  <c r="I32" l="1"/>
  <c r="C74" l="1"/>
  <c r="C75"/>
  <c r="C76"/>
  <c r="C77"/>
  <c r="C78"/>
  <c r="C79"/>
  <c r="A75"/>
  <c r="A76"/>
  <c r="A77"/>
  <c r="A78"/>
  <c r="C19" i="49" l="1"/>
  <c r="C25" i="47"/>
  <c r="A25"/>
  <c r="I11"/>
  <c r="I39" l="1"/>
  <c r="A12" l="1"/>
  <c r="A16"/>
  <c r="A21"/>
  <c r="A22"/>
  <c r="A23"/>
  <c r="A24"/>
  <c r="A32"/>
  <c r="A33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9"/>
  <c r="A80"/>
  <c r="A81"/>
  <c r="A82"/>
  <c r="A83"/>
  <c r="A84"/>
  <c r="A85"/>
  <c r="A86"/>
  <c r="A87"/>
  <c r="A88"/>
  <c r="A89"/>
  <c r="A90"/>
  <c r="A91"/>
  <c r="A92"/>
  <c r="A93"/>
  <c r="A94"/>
  <c r="A95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2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L82" l="1"/>
  <c r="D12" l="1"/>
  <c r="D13" l="1"/>
  <c r="D14" s="1"/>
  <c r="D15" s="1"/>
  <c r="K119"/>
  <c r="A8" l="1"/>
  <c r="C8"/>
  <c r="A9"/>
  <c r="C9"/>
  <c r="A10"/>
  <c r="C10"/>
  <c r="A11"/>
  <c r="C11"/>
  <c r="C12"/>
  <c r="C16"/>
  <c r="C21"/>
  <c r="C31"/>
  <c r="C32"/>
  <c r="C38"/>
  <c r="C39"/>
  <c r="C40"/>
  <c r="C41"/>
  <c r="C42"/>
  <c r="C43"/>
  <c r="C46"/>
  <c r="C48"/>
  <c r="C49"/>
  <c r="C50"/>
  <c r="C51"/>
  <c r="C52"/>
  <c r="C54"/>
  <c r="C57"/>
  <c r="C58"/>
  <c r="C59"/>
  <c r="C60"/>
  <c r="C61"/>
  <c r="C62"/>
  <c r="C63"/>
  <c r="C64"/>
  <c r="C65"/>
  <c r="C67"/>
  <c r="C68"/>
  <c r="C70"/>
  <c r="C71"/>
  <c r="C80"/>
  <c r="C81"/>
  <c r="C83"/>
  <c r="C84"/>
  <c r="C85"/>
  <c r="C86"/>
  <c r="C87"/>
  <c r="C89"/>
  <c r="C91"/>
  <c r="C93"/>
  <c r="C100"/>
  <c r="C101"/>
  <c r="C102"/>
  <c r="C103"/>
  <c r="C104"/>
  <c r="C105"/>
  <c r="C106"/>
  <c r="C107"/>
  <c r="C108"/>
  <c r="C109"/>
  <c r="C110"/>
  <c r="C111"/>
  <c r="C112"/>
  <c r="C113"/>
  <c r="C114"/>
  <c r="C115"/>
  <c r="C117"/>
  <c r="C118"/>
  <c r="C123"/>
  <c r="C124"/>
  <c r="C126" l="1"/>
  <c r="C53"/>
  <c r="I55" l="1"/>
  <c r="C55" s="1"/>
  <c r="A191" l="1"/>
  <c r="A192"/>
  <c r="A193"/>
  <c r="A194"/>
  <c r="A195"/>
  <c r="A196"/>
  <c r="A197"/>
  <c r="A198"/>
  <c r="A199"/>
  <c r="A200"/>
  <c r="A201"/>
  <c r="A202"/>
  <c r="A203"/>
  <c r="A204"/>
  <c r="A205"/>
  <c r="A7"/>
  <c r="I37" l="1"/>
  <c r="J36"/>
  <c r="I36" s="1"/>
  <c r="I35"/>
  <c r="I33"/>
  <c r="I24"/>
  <c r="I23"/>
  <c r="C35" l="1"/>
  <c r="C23"/>
  <c r="C36"/>
  <c r="C37"/>
  <c r="C24"/>
  <c r="C33"/>
  <c r="C116"/>
  <c r="C22"/>
  <c r="C82" l="1"/>
  <c r="C7" l="1"/>
  <c r="I94" l="1"/>
  <c r="C94" l="1"/>
  <c r="I47"/>
  <c r="I66" l="1"/>
  <c r="C47"/>
  <c r="I45"/>
  <c r="C45" s="1"/>
  <c r="I44"/>
  <c r="C44" s="1"/>
  <c r="C20" i="49" l="1"/>
  <c r="I72" i="47"/>
  <c r="C10" i="49" l="1"/>
  <c r="C122" i="47"/>
  <c r="I73"/>
  <c r="C72"/>
  <c r="T216"/>
  <c r="C119" l="1"/>
  <c r="U216"/>
  <c r="V216"/>
  <c r="L69"/>
  <c r="K69"/>
  <c r="J69"/>
  <c r="I69"/>
  <c r="C69" l="1"/>
  <c r="C2" i="49"/>
  <c r="L73" i="47" l="1"/>
  <c r="K73"/>
  <c r="J73"/>
  <c r="C73"/>
  <c r="J88" l="1"/>
  <c r="L88"/>
  <c r="K88"/>
  <c r="K90" l="1"/>
  <c r="C88" l="1"/>
  <c r="I56"/>
  <c r="C56" s="1"/>
  <c r="C66" l="1"/>
  <c r="K82" l="1"/>
  <c r="J82"/>
  <c r="J22" l="1"/>
  <c r="L66" l="1"/>
  <c r="L90" l="1"/>
  <c r="K135"/>
  <c r="J90"/>
  <c r="I90"/>
  <c r="C21" i="49" l="1"/>
  <c r="C90" i="47"/>
  <c r="C136"/>
  <c r="C137"/>
  <c r="C138"/>
  <c r="C139"/>
  <c r="C140"/>
  <c r="C141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6"/>
  <c r="C125" l="1"/>
  <c r="L92"/>
  <c r="J92"/>
  <c r="I92"/>
  <c r="C92" l="1"/>
  <c r="C195"/>
  <c r="C196"/>
  <c r="C197"/>
  <c r="C198"/>
  <c r="C199"/>
  <c r="C200"/>
  <c r="C201"/>
  <c r="C202"/>
  <c r="C203"/>
  <c r="C204"/>
  <c r="C205"/>
  <c r="A206"/>
  <c r="C206"/>
  <c r="A207"/>
  <c r="C207"/>
  <c r="A208"/>
  <c r="C208"/>
  <c r="A209"/>
  <c r="C209"/>
  <c r="A210"/>
  <c r="C210"/>
  <c r="A211"/>
  <c r="C211"/>
  <c r="A212"/>
  <c r="C212"/>
  <c r="C22" i="49"/>
  <c r="J125" i="47"/>
  <c r="J66"/>
  <c r="L22"/>
  <c r="C18" i="49" l="1"/>
  <c r="J8"/>
  <c r="J6"/>
  <c r="J5"/>
  <c r="J4"/>
  <c r="J3"/>
  <c r="I135" i="47" l="1"/>
  <c r="J119"/>
  <c r="J7" i="49" l="1"/>
  <c r="J2" s="1"/>
  <c r="C7" s="1"/>
  <c r="L135" i="47" l="1"/>
  <c r="J134"/>
  <c r="C142" l="1"/>
  <c r="J135"/>
  <c r="C5" i="49"/>
  <c r="A213" i="47"/>
  <c r="J216" l="1"/>
  <c r="I216"/>
  <c r="L216"/>
  <c r="I217" l="1"/>
  <c r="C1" i="49" l="1"/>
  <c r="C3" s="1"/>
  <c r="C6" s="1"/>
  <c r="C8" s="1"/>
  <c r="D16" i="47" l="1"/>
  <c r="D17" l="1"/>
  <c r="D18" l="1"/>
  <c r="D19" l="1"/>
  <c r="D20" l="1"/>
  <c r="D21" l="1"/>
  <c r="D25" s="1"/>
  <c r="D26" l="1"/>
  <c r="D27" l="1"/>
  <c r="D28" l="1"/>
  <c r="D30" s="1"/>
  <c r="D31" l="1"/>
  <c r="D32" l="1"/>
  <c r="D34" s="1"/>
  <c r="D35" l="1"/>
  <c r="D36" l="1"/>
  <c r="D38" s="1"/>
  <c r="D39" l="1"/>
  <c r="D40" l="1"/>
  <c r="D41" l="1"/>
  <c r="D42" l="1"/>
  <c r="D43" l="1"/>
  <c r="D44" l="1"/>
  <c r="D45" l="1"/>
  <c r="D46" l="1"/>
  <c r="D47" l="1"/>
  <c r="D49" s="1"/>
  <c r="C11" i="49"/>
  <c r="D50" i="47" l="1"/>
  <c r="D51" l="1"/>
  <c r="D52" l="1"/>
  <c r="D53" l="1"/>
  <c r="D55" l="1"/>
  <c r="D54"/>
  <c r="D56" l="1"/>
  <c r="D57" l="1"/>
  <c r="D59" l="1"/>
  <c r="D60" l="1"/>
  <c r="D61" l="1"/>
  <c r="D62" l="1"/>
  <c r="D63" l="1"/>
  <c r="D64" l="1"/>
  <c r="D65" l="1"/>
  <c r="D67" l="1"/>
  <c r="D70" l="1"/>
  <c r="D71" l="1"/>
  <c r="D72" l="1"/>
  <c r="D75" l="1"/>
  <c r="D76" l="1"/>
  <c r="D78" l="1"/>
  <c r="D79" l="1"/>
  <c r="D81" l="1"/>
  <c r="D83" l="1"/>
  <c r="D84" l="1"/>
  <c r="D85" l="1"/>
  <c r="D89" l="1"/>
  <c r="D94" l="1"/>
  <c r="D95" l="1"/>
  <c r="D96" l="1"/>
  <c r="D97" l="1"/>
  <c r="D98" l="1"/>
  <c r="D99" l="1"/>
  <c r="D101" s="1"/>
  <c r="D109" l="1"/>
  <c r="D110" l="1"/>
  <c r="D111" l="1"/>
  <c r="D112" l="1"/>
  <c r="D113" l="1"/>
  <c r="D114" l="1"/>
  <c r="D115" l="1"/>
  <c r="D116" l="1"/>
  <c r="D117" l="1"/>
  <c r="D118" l="1"/>
  <c r="D120" l="1"/>
  <c r="D121" l="1"/>
  <c r="D122" l="1"/>
  <c r="D123" l="1"/>
  <c r="D126" l="1"/>
  <c r="D127" s="1"/>
  <c r="D128" s="1"/>
  <c r="D129" s="1"/>
  <c r="D130" l="1"/>
  <c r="D131" l="1"/>
  <c r="D132" l="1"/>
  <c r="D133" l="1"/>
</calcChain>
</file>

<file path=xl/sharedStrings.xml><?xml version="1.0" encoding="utf-8"?>
<sst xmlns="http://schemas.openxmlformats.org/spreadsheetml/2006/main" count="339" uniqueCount="197">
  <si>
    <t>Dział</t>
  </si>
  <si>
    <t>Rozdz.</t>
  </si>
  <si>
    <t>x</t>
  </si>
  <si>
    <t>Lp.</t>
  </si>
  <si>
    <t>010</t>
  </si>
  <si>
    <t>60016</t>
  </si>
  <si>
    <t>600</t>
  </si>
  <si>
    <t>801</t>
  </si>
  <si>
    <t>X</t>
  </si>
  <si>
    <t>ROLNICTWO I ŁOWIECTWO</t>
  </si>
  <si>
    <t>TRANSPORT I ŁĄCZNOŚĆ</t>
  </si>
  <si>
    <t>OŚWIATA I WYCHOWANIE</t>
  </si>
  <si>
    <t>Łącznie  wydatki majątkowe</t>
  </si>
  <si>
    <t xml:space="preserve">Nazwa zadania </t>
  </si>
  <si>
    <t>01095</t>
  </si>
  <si>
    <t>Par.</t>
  </si>
  <si>
    <t>6050</t>
  </si>
  <si>
    <t>Gospodarka komunalna i ochrona środowiska</t>
  </si>
  <si>
    <t>754</t>
  </si>
  <si>
    <t>WPF</t>
  </si>
  <si>
    <t>12.4</t>
  </si>
  <si>
    <t>Majątkowe dla UE pozycja 12.4 WPF</t>
  </si>
  <si>
    <t>Wydatki inwestycyjne wszystkie</t>
  </si>
  <si>
    <t>11.6</t>
  </si>
  <si>
    <t>inwestycyjne dotacje poz 11.6</t>
  </si>
  <si>
    <t>wydatki inwestycyjne  pozycja 11.4 i 11.5 WPF</t>
  </si>
  <si>
    <t>w tym</t>
  </si>
  <si>
    <t>Majatkowe razem</t>
  </si>
  <si>
    <t>Nieinwestycyjne</t>
  </si>
  <si>
    <t>Inwestycyjne</t>
  </si>
  <si>
    <t>85121</t>
  </si>
  <si>
    <t>6220</t>
  </si>
  <si>
    <t>851</t>
  </si>
  <si>
    <t>Ochrona zdrowia</t>
  </si>
  <si>
    <t>Z tego realizowane w ramach Funduszu Sołeckiego</t>
  </si>
  <si>
    <t>ZMIANA</t>
  </si>
  <si>
    <t>PWIK</t>
  </si>
  <si>
    <t>SUMA WIDOCZNYCH</t>
  </si>
  <si>
    <t>Bezpieczeństwo publiczne i ochrona przeciwpożarowa</t>
  </si>
  <si>
    <t>75495</t>
  </si>
  <si>
    <t>Wniesienie wkładu do spółki prawa handlowego - Przedsiębiorstwo Wodociągów i Kanalizacji Sp.z.o.o</t>
  </si>
  <si>
    <t>Czy wyświetlać</t>
  </si>
  <si>
    <t>4 cyfra paragrafu</t>
  </si>
  <si>
    <t>Dotacje</t>
  </si>
  <si>
    <t>Suma dotacji</t>
  </si>
  <si>
    <t>Kultura i ochrona dziedzictwa narodowego</t>
  </si>
  <si>
    <t>Kultura Fizyczna</t>
  </si>
  <si>
    <t>z 7,8,9</t>
  </si>
  <si>
    <t>Wzrost potencjału turystycznego Gminy Radzymin poprzez adaptację na cele kulturalne zabytkowego domku administratora znajdującego się w historycznym parku księżnej Eleonory Czartoryskiej</t>
  </si>
  <si>
    <t xml:space="preserve">Budowa ścieżki rowerowej na odcinku granica Gminy Radzymin z Gminą Nieporęt do ulicy Wołomińskiej (ciągami ulic Weteranów, Konopnickiej, Jana Pawła II od ul. Maczka do ul. Czartoryskiej, Żeligowskiego, Traugutta, Strzelców Wileńskich i Mickiewicza),w ramach  realizacji Programu Gospodarki Niskoemisyjnej Gminy Radzymin (inwestycja realizowana w ramach ZIT WOF mająca na celu redukcję emisji zanieczyszczeń powietrza atmosferycznego) </t>
  </si>
  <si>
    <t>Kwota</t>
  </si>
  <si>
    <t>Sołectwo</t>
  </si>
  <si>
    <t>Zielony Radzymin - rozwój terenów zielonych w centrum miasta</t>
  </si>
  <si>
    <t>Program inwestycji odwodnieniowych</t>
  </si>
  <si>
    <t>Budowa monitoringu wizyjnego</t>
  </si>
  <si>
    <t>700</t>
  </si>
  <si>
    <t>70004</t>
  </si>
  <si>
    <t>Budowa Budynku Komunalnego</t>
  </si>
  <si>
    <t>Modernizacja ciągu ulic Sikorskiego i Nowej w Radzyminie</t>
  </si>
  <si>
    <t>Modernizacja ciągu ulic Zwycięskiej, Ułańskiej, Ogrodowej, Szwoleżerów i Myśliwskiej</t>
  </si>
  <si>
    <t>Modernizacja ul. Mjr. Tadeusza Koliski w Radzyminie - wraz z dokumentacją projektową</t>
  </si>
  <si>
    <t>Program Gospodarki Niskoemisyjnej Gminy Radzymin - wymiana pieców C.O.</t>
  </si>
  <si>
    <t>Projektowanie rond na skrzyżowaniu ul. Maczka, Polna, Norwida wraz z fragmentem Jana Pawła II i odwodnieniem</t>
  </si>
  <si>
    <t>Gospodarka mieszkaniowa</t>
  </si>
  <si>
    <t>852</t>
  </si>
  <si>
    <t>6067</t>
  </si>
  <si>
    <t>Pomoc Społeczna</t>
  </si>
  <si>
    <t>Budowa ulicy Curie-Skłodowskiej w Radzyminie</t>
  </si>
  <si>
    <t>11.4  inwestycyjne kontynuowane bez dotacji</t>
  </si>
  <si>
    <t>11.5  inwestycyjne nowe bez dotacji</t>
  </si>
  <si>
    <t>TAK</t>
  </si>
  <si>
    <t>750</t>
  </si>
  <si>
    <t>75023</t>
  </si>
  <si>
    <t>Realizacja programu "E-Urząd"</t>
  </si>
  <si>
    <t>6069</t>
  </si>
  <si>
    <t>Administracja publiczna</t>
  </si>
  <si>
    <t>Przebudowa targowiska miejskiego</t>
  </si>
  <si>
    <t xml:space="preserve">Budowa ścieżki rowerowej w ciągu ul. Wołomińskiej i Jana Pawła II do granicy z Gminą Miasto Marki (inwestycja realizowana w ramach ZIT WOF mająca na celu redukcję emisji zanieczyszczeń powietrza atmosferycznego) </t>
  </si>
  <si>
    <t>Wykonanie projektu modernizacji ul. Kasztanowej</t>
  </si>
  <si>
    <t>Z WPF</t>
  </si>
  <si>
    <t>Dochody</t>
  </si>
  <si>
    <t xml:space="preserve">Projekt i budowa dwóch parkingów systemu "Parkuj i Jedź" (teren obecnej drogi S8 na odcinku od DW 635 do ul. Słowackiego w Radzyminie oraz ul. P.O.W. w Radzyminie) w ramach  realizacji Programu Gospodarki Niskoemisyjnej Gminy Radzymin (inwestycja realizowana w ramach ZIT WOF mająca na celu redukcję emisji zanieczyszczeń powietrza atmosferycznego) </t>
  </si>
  <si>
    <t>Budowa boiska pomocniczego przy ul. Wołomińskiej (Teren K.S. Mazur)</t>
  </si>
  <si>
    <t>Adaptacja sutereny kaplicy na cel świetlicy wiejskiej - zakup rzutnika, ekranu, nagłośnienia, modernizacja toalety, kuchni, kotłowni i centralnego ogrzewania, modernizacja oświetlenia, wymiana stolarki drzwiowej, malowanie ścian i uzupełnienie paneli, wydzielenie pomieszczenia gospodarczego (szatni), montaż systemu monitoringu, pokrycie kosztów zużycia gazu i energii elektrycznej</t>
  </si>
  <si>
    <t>Projekt odwodnienia ul. Mostowej i Czarnej w Nadmie</t>
  </si>
  <si>
    <t>75404</t>
  </si>
  <si>
    <t>6170</t>
  </si>
  <si>
    <t>Nabycie nieruchomości w Łąkach pod plac zabaw (dz. 47/15 i 47/17)</t>
  </si>
  <si>
    <t>60014</t>
  </si>
  <si>
    <t>Zakup kontenerów na plac zabaw w Wiktorowie</t>
  </si>
  <si>
    <t>Dotacja celowa dla Radzymińskiego Ośrodka Kultury i Sportu w Radzyminie celem wsparcia budowy terenu rekreacyjnego w miejscowości Cegielnia</t>
  </si>
  <si>
    <t>Nowe Słupno, Stare Słupno</t>
  </si>
  <si>
    <t>Sieraków</t>
  </si>
  <si>
    <t>Wiktorów</t>
  </si>
  <si>
    <t>Altana integracyjna z grillem (zakup i montaż)</t>
  </si>
  <si>
    <t>Nowy Janków</t>
  </si>
  <si>
    <t>Rżyska</t>
  </si>
  <si>
    <t>Projekt zajezdni autobusowej</t>
  </si>
  <si>
    <t>Łosie</t>
  </si>
  <si>
    <t>Budowa infrastruktury umożliwiającej korzystanie z przystanków komunikacji zbiorowej, obejmująca budowę chodników - dojść do przystanków, bezpiecznych przejść dla pieszych, oznakowania pionowego i poziomego</t>
  </si>
  <si>
    <t>Zawady</t>
  </si>
  <si>
    <t>Dybów Kolonia</t>
  </si>
  <si>
    <t>Wykonanie projektu ul. Rogowskiego i Strażackiej - wraz z modernizacją ulicy</t>
  </si>
  <si>
    <t>Mokre</t>
  </si>
  <si>
    <t>Cegielnia</t>
  </si>
  <si>
    <t>Projekt ciągu pieszo-rowerowego wraz z odwodnieniem we wsi Ciemne</t>
  </si>
  <si>
    <t>Ciemne</t>
  </si>
  <si>
    <t>Projekt budowy ul. Nowinkowej</t>
  </si>
  <si>
    <t>Nowe Załubice, 
Stare Załubice</t>
  </si>
  <si>
    <t>Budowa chodnika w sołectwie Zwierzyniec nr drogi 13 i 74/2</t>
  </si>
  <si>
    <t>Zwierzyniec</t>
  </si>
  <si>
    <t>Budowa instalacji napowietrznej (róg Wesołej i Objazdowej)</t>
  </si>
  <si>
    <t>Emilianów</t>
  </si>
  <si>
    <t>BEZ FUNDUSZU SOŁECKIEGO</t>
  </si>
  <si>
    <t>WYNIK NA INWESTYCJI 
- tyle oszczędzamy rezygnując</t>
  </si>
  <si>
    <t>Dotacja celowa na inwestycje Centrum Medycznego im. Bitwy Warszawskiej 1920 roku w Radzyminie.</t>
  </si>
  <si>
    <t>Nadma Półko</t>
  </si>
  <si>
    <t>Wykonanie pobocza na odcinku drogi serwisowej od ul. Lipowej w Cegielni do ul. Spacerowej w Słupnie</t>
  </si>
  <si>
    <t>Drogi dojazdowe do strefy przemysłowej wraz z dokumentacją projektową - ciąg komunikacyjny łączący ul. Wyszyńskiego z ul. Przemysłową w Radzyminie, zawadach, Mokrem</t>
  </si>
  <si>
    <t xml:space="preserve">PLAN </t>
  </si>
  <si>
    <t>Wymiana opraw oświetlenia ulicznego na energooszczędne ledowe w ramach  realizacji Programu Gospodarki Niskoemisyjnej Gminy Radzymin (inwestycja  mająca na celu redukcję emisji zanieczyszczeń powietrza atmosferycznego)</t>
  </si>
  <si>
    <t>Modernizacja ul. Wierzbowej</t>
  </si>
  <si>
    <t>Modernizacja ul. Działkowej w Łosiu</t>
  </si>
  <si>
    <t>80101</t>
  </si>
  <si>
    <t>Rozbudowa szkoły podstawowej w Nadmie</t>
  </si>
  <si>
    <t>Budowa oświetlenia w Rudzie</t>
  </si>
  <si>
    <t>Budowa oświetlenia w ul. Sąsiedzkiej i Przyjaznej w Słupnie</t>
  </si>
  <si>
    <t>Budowa oświetlenia w Sołectwie Borki</t>
  </si>
  <si>
    <t>Budowa oświetlenia w ul. Promykowej w Cegielni</t>
  </si>
  <si>
    <t>Status N - K</t>
  </si>
  <si>
    <t xml:space="preserve">Nabycie nieruchomości pod strefę publiczną (Dom Kultury) </t>
  </si>
  <si>
    <t>Wiata ogrodowa  - zakup, montaż - wyposażenie służące integracji mieszkańców</t>
  </si>
  <si>
    <t>Wyróżnik</t>
  </si>
  <si>
    <t>Wpisujemy z ręki</t>
  </si>
  <si>
    <t>Budowa wielofunkcyjnego, ogólnodostępnego boiska w Starych Załubicach.</t>
  </si>
  <si>
    <t>pierwszy wolny numer</t>
  </si>
  <si>
    <t>75412</t>
  </si>
  <si>
    <t>6058</t>
  </si>
  <si>
    <t>Termomodernizacja budynków oświatowych Gminy Radzymin</t>
  </si>
  <si>
    <t>75022</t>
  </si>
  <si>
    <t>6060</t>
  </si>
  <si>
    <t>Rozbudowa systemu 'E-Sesja" o funkcjonalność videorejestracji i transmisji online</t>
  </si>
  <si>
    <t>PLAN   WYDATKÓW   MAJĄTKOWYCH   na  2019 rok. - po zmianach.</t>
  </si>
  <si>
    <t>Modernizacja skrzyżowania ul. Jana Pawła II z ul. E. Czartoryskiej wraz z placem po PKS oraz fragmentem ul. Jana Pawła II.</t>
  </si>
  <si>
    <t>Rozbudowa ul. Maczka i ciągu pieszo - rowerowego w ul. Szkolnej w Radzyminie wraz z odwodnieniem ul. Szkolnej</t>
  </si>
  <si>
    <t>Projekt przebudowy ul. Komunalnej w Radzyminie wraz z parkingiem</t>
  </si>
  <si>
    <t xml:space="preserve">Budowa drogi gminnej ul. Strzelców Grodzieńskich w Radzyminie na odcinku od Al.. Jana Pawła II do ul. Konopnickiej, obejmującego jezdnię, chodniki i ciągi rowerowe, parkingi, oraz infrastrukturę towarzyszącą. </t>
  </si>
  <si>
    <t>Modernizacja peronu przy ul. Kolejowej w Radzyminie</t>
  </si>
  <si>
    <t>Budowa oświetlenia w ul. Akacjowej, Zielnej i Żwirkowej w Radzyminie</t>
  </si>
  <si>
    <t>Zakup rozpieracza ramieniowego do zestawu "Holmatro" dla OSP Słupno</t>
  </si>
  <si>
    <t>Zakup nieruchomości przeznaczonej pod drogę gminną ul. Jagienki Zychówny w Sierakowie (działka 178/8 obręb Sieraków)</t>
  </si>
  <si>
    <t>Majątkowe do 600</t>
  </si>
  <si>
    <t>Majątkowe 600</t>
  </si>
  <si>
    <t>Majątkowe od 600 do 900</t>
  </si>
  <si>
    <t>Majątkowe &gt;=900</t>
  </si>
  <si>
    <t>Dofinansowanie budowy nowego komisariatu Policji w Radzyminie</t>
  </si>
  <si>
    <t>Dofinansowanie modernizacji garaży PSP w Wołominie</t>
  </si>
  <si>
    <t>Odwodnienie ul. Wawrzyna i Azaliowej w ramach realizacji programu inwestycji odwodnieniowych</t>
  </si>
  <si>
    <t>60013</t>
  </si>
  <si>
    <t>Przebudowa drogi wojewódzkiej nr 635 (ul. Wołomińska w Radzyminie)</t>
  </si>
  <si>
    <t>Dokumentacja projektowa zabytkowego Domu Pielgrzyma w Radzyminie</t>
  </si>
  <si>
    <t>Nabycie nieruchomości położonych w obrębie Ciemne w gminie Radzymin, oznaczonych jako działki ewidencyjne nr 169/19, 170/10, 171/26, 180/3, 180/20, 178/3, 181/1, 181/3, 182/1, 182/2, 182/3, z przeznaczeniem na poszerzenie drogi publicznej gminnej.</t>
  </si>
  <si>
    <t>Zmiana</t>
  </si>
  <si>
    <t>01042</t>
  </si>
  <si>
    <t>Modernizacja drogi dojazdowej do gruntów rolnych - ul. Żukowskiego w Zawadach</t>
  </si>
  <si>
    <t>Modernizacja drogi dojazdowej do gruntów rolnych - ul. Szwoleżerów w Starym Dybowie</t>
  </si>
  <si>
    <t>Budowa Otwartej Strefy Aktywności w miejscowości Arciechów</t>
  </si>
  <si>
    <t>Budowa Otwartej Strefy Aktywności w miejscowości Emilianów</t>
  </si>
  <si>
    <t>Budowa Otwartej Strefy Aktywności w miejscowości Radzymin</t>
  </si>
  <si>
    <t>Budowa Otwartej Strefy Aktywności w miejscowości Rżyska</t>
  </si>
  <si>
    <t>Zakup tymczasowego garażu dla sołectwa Nadma Stara</t>
  </si>
  <si>
    <t>Czy jest wprowadzone</t>
  </si>
  <si>
    <t>Piękne i funkcjonalne otoczenie ul. Piłsudskiego w Ciemnem - przedsięwzięcie realizowane w ramach Radzymińskiego Budżetu Partycypacyjnego - przygotowanie inwestycji</t>
  </si>
  <si>
    <t>Aktywnie w Dybowie - przedsięwzięcie realizowane w ramach Radzymińskiego Budżetu Partycypacyjnego - budowa siłowni zewnętrznej</t>
  </si>
  <si>
    <t>Pomoc finansowa dla Powiatu Wołomińskiego na modernizację ul. Zawadzkiej</t>
  </si>
  <si>
    <t>Zakup używanego samochodu dla potrzeb utrzymania dróg gminnych</t>
  </si>
  <si>
    <t>6230</t>
  </si>
  <si>
    <t>Dotacja celowa dla OSP Zawady z przeznaczeniem na zakup średniego samochodu ratowniczo - gaśniczego</t>
  </si>
  <si>
    <t>Budowa kolektora deszczowego w ul. Platanowej</t>
  </si>
  <si>
    <t>Wykonanie projektu ul. Rogowskiego i Strażackiej</t>
  </si>
  <si>
    <t xml:space="preserve">Przebudowa ul. W. Szymborskiej w Radzyminie - dokumentacja projektowa </t>
  </si>
  <si>
    <t>Projekt przebudowy ciągu ulic Rzecznej, Platanowej, Bieszczadzkiej, Klubowej, Wodnej, Przejściowej i Cichej, z uwzględnieniem odwodnienia pasa drogowego, oraz uproszczony projekt ciągu ulic : Tulipanowej, Czarnej, Wrzosowej i Kozłówek (miejscowości Nadma i Słupno). - wraz z wykonaniem inwestycji w ul. Platanowej, Klubowej i Wodnej</t>
  </si>
  <si>
    <t xml:space="preserve">Projekt oświetlenia drogi od Rudy do Załubic (od skrzyżowania Ruda/Stare Załubice/Borki do skrzyżowania w Załubicach przy szkole podstawowej </t>
  </si>
  <si>
    <t>Projekt oświetlenia ul. Wczasowej od przystanku ZTM SIWEK (sołectwo Borki) do ul. Mazowieckiej sołectwa Wolica</t>
  </si>
  <si>
    <t>6059</t>
  </si>
  <si>
    <t>Zagospodarowanie terenu placu zabaw w Nowym Jankowie</t>
  </si>
  <si>
    <t>Pomoc finansowa dla Powiatu Wołomińskiego na modernizację ul. Szkolnej w Słupnie i ul. Zawadzkiej</t>
  </si>
  <si>
    <t>Dotacja celowa na inwestycje Biblioteki Publicznej Miasta i Gminy Radzymin z przeznaczeniem na współfinansowanie modernizacji budynku (budowa odwodnienia, modernizacja Miejskiej Sali Koncertowej)</t>
  </si>
  <si>
    <t>Modernizacja kolektora w ul. Gościniec i Chabrowej w Słupnie</t>
  </si>
  <si>
    <t>Zakup gruntu pod zajezdnię autobusową</t>
  </si>
  <si>
    <t>Nabycie nieruchomości położonej w Radzyminie, obręb 05-03 (działka 56/9) z przeznaczeniem pod drogę gminną</t>
  </si>
  <si>
    <t>Nabycie nieruchomości położonych w Łosiu, (działki 58/15 i 97/36) z przeznaczeniem pod drogę gminną</t>
  </si>
  <si>
    <t>Zakup oprogramowania na potrzeby systemu gospodarowania odpadami</t>
  </si>
  <si>
    <t>Zakup kontenerów na potrzeby boiska pomocniczego przy ul. Wołomińskiej</t>
  </si>
  <si>
    <t>Modernizacja świetlicy w Rżyskach - - przedsięwzięcie realizowane w ramach Radzymińskiego Budżetu Partycypacyjnego</t>
  </si>
  <si>
    <t>Załącznik nr 3 do Uchwały Nr       /XVI/2019 Rady Miejskiej w Radzyminie z dnia  14.11.2019 r.</t>
  </si>
  <si>
    <t>Zakup kontenerów na potrzeby zaplecza K.S. "Rządza"</t>
  </si>
</sst>
</file>

<file path=xl/styles.xml><?xml version="1.0" encoding="utf-8"?>
<styleSheet xmlns="http://schemas.openxmlformats.org/spreadsheetml/2006/main">
  <numFmts count="1">
    <numFmt numFmtId="41" formatCode="_-* #,##0\ _z_ł_-;\-* #,##0\ _z_ł_-;_-* &quot;-&quot;\ _z_ł_-;_-@_-"/>
  </numFmts>
  <fonts count="16">
    <font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2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6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4" fontId="0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1" fontId="11" fillId="0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1" fontId="7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4" fontId="2" fillId="4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1" fontId="7" fillId="0" borderId="23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left" vertical="center" wrapText="1"/>
    </xf>
    <xf numFmtId="4" fontId="13" fillId="0" borderId="21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horizontal="left" vertical="center" wrapText="1"/>
    </xf>
    <xf numFmtId="4" fontId="2" fillId="0" borderId="32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4" fontId="0" fillId="0" borderId="0" xfId="0" applyNumberFormat="1"/>
    <xf numFmtId="1" fontId="7" fillId="0" borderId="6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1" fontId="9" fillId="0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4" fontId="0" fillId="0" borderId="0" xfId="0" applyNumberFormat="1" applyFont="1" applyFill="1"/>
    <xf numFmtId="4" fontId="2" fillId="0" borderId="26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4" fontId="13" fillId="0" borderId="34" xfId="0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 wrapText="1"/>
    </xf>
    <xf numFmtId="41" fontId="9" fillId="0" borderId="5" xfId="0" applyNumberFormat="1" applyFont="1" applyFill="1" applyBorder="1" applyAlignment="1">
      <alignment vertical="center" wrapText="1"/>
    </xf>
    <xf numFmtId="41" fontId="11" fillId="0" borderId="4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7" fillId="0" borderId="31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7" xfId="0" applyNumberFormat="1" applyFont="1" applyFill="1" applyBorder="1" applyAlignment="1">
      <alignment horizontal="left" vertical="center" wrapText="1"/>
    </xf>
    <xf numFmtId="4" fontId="7" fillId="0" borderId="16" xfId="0" applyNumberFormat="1" applyFont="1" applyFill="1" applyBorder="1" applyAlignment="1">
      <alignment horizontal="left" vertical="center" wrapText="1"/>
    </xf>
    <xf numFmtId="4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4" fontId="7" fillId="3" borderId="22" xfId="0" applyNumberFormat="1" applyFont="1" applyFill="1" applyBorder="1" applyAlignment="1">
      <alignment horizontal="center" vertical="center" wrapText="1"/>
    </xf>
    <xf numFmtId="4" fontId="7" fillId="3" borderId="31" xfId="0" applyNumberFormat="1" applyFont="1" applyFill="1" applyBorder="1" applyAlignment="1">
      <alignment horizontal="left" vertical="center" wrapText="1"/>
    </xf>
    <xf numFmtId="1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1" fontId="11" fillId="0" borderId="36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>
      <alignment vertical="center"/>
    </xf>
    <xf numFmtId="4" fontId="8" fillId="0" borderId="37" xfId="0" applyNumberFormat="1" applyFont="1" applyFill="1" applyBorder="1" applyAlignment="1">
      <alignment horizontal="left" vertical="center" wrapText="1"/>
    </xf>
    <xf numFmtId="0" fontId="7" fillId="0" borderId="5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6" fillId="0" borderId="33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left" vertical="center" wrapText="1"/>
    </xf>
    <xf numFmtId="4" fontId="2" fillId="0" borderId="40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>
      <alignment horizontal="center" vertical="center"/>
    </xf>
    <xf numFmtId="41" fontId="11" fillId="0" borderId="13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vertical="center" wrapText="1"/>
    </xf>
    <xf numFmtId="4" fontId="2" fillId="0" borderId="41" xfId="0" applyNumberFormat="1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41" fontId="9" fillId="0" borderId="9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2" fillId="0" borderId="39" xfId="0" applyNumberFormat="1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left" vertical="center" wrapText="1"/>
    </xf>
    <xf numFmtId="0" fontId="7" fillId="0" borderId="9" xfId="0" quotePrefix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  <xf numFmtId="4" fontId="8" fillId="0" borderId="28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 wrapText="1"/>
    </xf>
    <xf numFmtId="49" fontId="7" fillId="0" borderId="36" xfId="0" applyNumberFormat="1" applyFont="1" applyFill="1" applyBorder="1" applyAlignment="1">
      <alignment horizontal="center" vertical="center"/>
    </xf>
    <xf numFmtId="41" fontId="9" fillId="0" borderId="36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41" fontId="9" fillId="0" borderId="12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4" fontId="4" fillId="7" borderId="1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 wrapText="1"/>
    </xf>
    <xf numFmtId="49" fontId="7" fillId="8" borderId="1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horizontal="left" vertical="center" wrapText="1"/>
    </xf>
    <xf numFmtId="4" fontId="7" fillId="0" borderId="45" xfId="0" applyNumberFormat="1" applyFont="1" applyFill="1" applyBorder="1" applyAlignment="1">
      <alignment horizontal="left" vertical="center" wrapText="1"/>
    </xf>
    <xf numFmtId="4" fontId="7" fillId="0" borderId="46" xfId="0" applyNumberFormat="1" applyFont="1" applyFill="1" applyBorder="1" applyAlignment="1">
      <alignment horizontal="lef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vertical="center"/>
    </xf>
    <xf numFmtId="0" fontId="0" fillId="0" borderId="0" xfId="0" applyFont="1" applyFill="1"/>
    <xf numFmtId="4" fontId="8" fillId="0" borderId="28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0" fontId="9" fillId="7" borderId="13" xfId="0" applyFont="1" applyFill="1" applyBorder="1" applyAlignment="1">
      <alignment vertical="center" wrapText="1"/>
    </xf>
    <xf numFmtId="4" fontId="4" fillId="7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1" fontId="11" fillId="0" borderId="24" xfId="0" applyNumberFormat="1" applyFont="1" applyFill="1" applyBorder="1" applyAlignment="1">
      <alignment horizontal="center" vertical="center" wrapText="1"/>
    </xf>
    <xf numFmtId="4" fontId="8" fillId="0" borderId="33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vertical="center" wrapText="1"/>
    </xf>
    <xf numFmtId="4" fontId="4" fillId="7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B231"/>
  <sheetViews>
    <sheetView tabSelected="1" zoomScale="130" zoomScaleNormal="130" workbookViewId="0">
      <pane ySplit="5" topLeftCell="A90" activePane="bottomLeft" state="frozen"/>
      <selection pane="bottomLeft" activeCell="M101" sqref="M101"/>
    </sheetView>
  </sheetViews>
  <sheetFormatPr defaultColWidth="9.140625" defaultRowHeight="12.75" outlineLevelCol="1"/>
  <cols>
    <col min="1" max="1" width="13.140625" style="1" customWidth="1" outlineLevel="1"/>
    <col min="2" max="2" width="14.28515625" style="1" customWidth="1" outlineLevel="1"/>
    <col min="3" max="3" width="13.7109375" style="1" customWidth="1" outlineLevel="1"/>
    <col min="4" max="4" width="5.5703125" style="20" customWidth="1"/>
    <col min="5" max="5" width="5.140625" style="14" customWidth="1"/>
    <col min="6" max="6" width="7.140625" style="14" bestFit="1" customWidth="1"/>
    <col min="7" max="7" width="5.140625" style="14" customWidth="1"/>
    <col min="8" max="8" width="43.140625" style="6" customWidth="1"/>
    <col min="9" max="9" width="13.42578125" style="8" customWidth="1"/>
    <col min="10" max="10" width="12.28515625" style="8" customWidth="1"/>
    <col min="11" max="11" width="12.28515625" style="106" customWidth="1"/>
    <col min="12" max="12" width="12.28515625" style="1" customWidth="1" outlineLevel="1"/>
    <col min="13" max="13" width="12.28515625" style="97" bestFit="1" customWidth="1"/>
    <col min="14" max="14" width="14" style="98" customWidth="1"/>
    <col min="15" max="15" width="10.140625" style="98" bestFit="1" customWidth="1"/>
    <col min="16" max="16" width="9.140625" style="171"/>
    <col min="17" max="17" width="9.140625" style="98"/>
    <col min="20" max="20" width="17.140625" style="45" customWidth="1" outlineLevel="1"/>
    <col min="21" max="21" width="12.140625" style="83" customWidth="1"/>
    <col min="22" max="22" width="26.140625" customWidth="1"/>
    <col min="24" max="16384" width="9.140625" style="1"/>
  </cols>
  <sheetData>
    <row r="1" spans="1:24">
      <c r="A1" s="1" t="s">
        <v>42</v>
      </c>
      <c r="D1" s="222" t="s">
        <v>195</v>
      </c>
      <c r="E1" s="222"/>
      <c r="F1" s="222"/>
      <c r="G1" s="222"/>
      <c r="H1" s="222"/>
      <c r="I1" s="222"/>
      <c r="J1" s="222"/>
      <c r="K1" s="222"/>
      <c r="L1" s="222"/>
      <c r="T1" s="114"/>
    </row>
    <row r="2" spans="1:24">
      <c r="H2" s="7"/>
      <c r="I2" s="25"/>
      <c r="J2" s="9"/>
    </row>
    <row r="3" spans="1:24" ht="19.5" customHeight="1" thickBot="1">
      <c r="A3" s="174" t="s">
        <v>135</v>
      </c>
      <c r="B3" s="41">
        <f>MAX(B6:B155)+1</f>
        <v>95</v>
      </c>
      <c r="D3" s="223" t="s">
        <v>142</v>
      </c>
      <c r="E3" s="223"/>
      <c r="F3" s="223"/>
      <c r="G3" s="223"/>
      <c r="H3" s="223"/>
      <c r="I3" s="223"/>
      <c r="J3" s="223"/>
      <c r="K3" s="223"/>
      <c r="L3" s="223"/>
      <c r="P3" s="1"/>
      <c r="T3" s="115"/>
    </row>
    <row r="4" spans="1:24" ht="32.25" customHeight="1">
      <c r="B4" s="1" t="s">
        <v>133</v>
      </c>
      <c r="C4" s="1" t="s">
        <v>41</v>
      </c>
      <c r="D4" s="21" t="s">
        <v>3</v>
      </c>
      <c r="E4" s="15" t="s">
        <v>0</v>
      </c>
      <c r="F4" s="15" t="s">
        <v>1</v>
      </c>
      <c r="G4" s="15" t="s">
        <v>15</v>
      </c>
      <c r="H4" s="33" t="s">
        <v>13</v>
      </c>
      <c r="I4" s="34" t="s">
        <v>119</v>
      </c>
      <c r="J4" s="224" t="s">
        <v>34</v>
      </c>
      <c r="K4" s="225"/>
      <c r="L4" s="73" t="s">
        <v>35</v>
      </c>
      <c r="P4" s="1"/>
      <c r="T4" s="113"/>
    </row>
    <row r="5" spans="1:24" ht="19.5" customHeight="1" thickBot="1">
      <c r="B5" s="1" t="s">
        <v>132</v>
      </c>
      <c r="D5" s="117"/>
      <c r="E5" s="118"/>
      <c r="F5" s="118"/>
      <c r="G5" s="118"/>
      <c r="H5" s="119"/>
      <c r="I5" s="120"/>
      <c r="J5" s="120" t="s">
        <v>50</v>
      </c>
      <c r="K5" s="121" t="s">
        <v>51</v>
      </c>
      <c r="L5" s="76"/>
      <c r="M5" s="97" t="s">
        <v>19</v>
      </c>
      <c r="N5" s="98" t="s">
        <v>171</v>
      </c>
      <c r="O5" s="98" t="s">
        <v>162</v>
      </c>
      <c r="P5" s="171" t="s">
        <v>129</v>
      </c>
      <c r="T5" s="45" t="s">
        <v>79</v>
      </c>
      <c r="U5" s="83" t="s">
        <v>80</v>
      </c>
      <c r="V5" s="112" t="s">
        <v>114</v>
      </c>
    </row>
    <row r="6" spans="1:24">
      <c r="A6" s="45"/>
      <c r="B6" s="172" t="s">
        <v>0</v>
      </c>
      <c r="C6" s="1" t="str">
        <f>IF(I6&gt;0,"TAK",IF(L6&lt;0,"TAK","NIE"))</f>
        <v>TAK</v>
      </c>
      <c r="D6" s="157">
        <v>1</v>
      </c>
      <c r="E6" s="158">
        <v>2</v>
      </c>
      <c r="F6" s="158">
        <v>3</v>
      </c>
      <c r="G6" s="158">
        <v>4</v>
      </c>
      <c r="H6" s="159">
        <v>4</v>
      </c>
      <c r="I6" s="160">
        <v>5</v>
      </c>
      <c r="J6" s="161">
        <v>6</v>
      </c>
      <c r="K6" s="162">
        <v>7</v>
      </c>
      <c r="L6" s="75">
        <v>8</v>
      </c>
      <c r="U6" s="97"/>
      <c r="V6" s="98"/>
    </row>
    <row r="7" spans="1:24" ht="29.25" hidden="1" customHeight="1">
      <c r="A7" s="45" t="str">
        <f t="shared" ref="A7" si="0">RIGHT(G7,1)</f>
        <v/>
      </c>
      <c r="B7" s="173"/>
      <c r="C7" s="1" t="str">
        <f t="shared" ref="C7" si="1">IF(I7&gt;0,"TAK",IF(L7&lt;0,"TAK","NIE"))</f>
        <v>NIE</v>
      </c>
      <c r="D7" s="84"/>
      <c r="E7" s="127"/>
      <c r="F7" s="127"/>
      <c r="G7" s="128"/>
      <c r="H7" s="163"/>
      <c r="I7" s="164"/>
      <c r="J7" s="129"/>
      <c r="K7" s="165"/>
      <c r="L7" s="156"/>
      <c r="M7" s="98"/>
      <c r="P7" s="98"/>
      <c r="R7" s="98"/>
      <c r="S7" s="98"/>
      <c r="T7" s="9"/>
      <c r="U7" s="97"/>
      <c r="V7" s="98"/>
    </row>
    <row r="8" spans="1:24" hidden="1">
      <c r="A8" s="45" t="str">
        <f t="shared" ref="A8:A81" si="2">RIGHT(G8,1)</f>
        <v/>
      </c>
      <c r="B8" s="173"/>
      <c r="C8" s="1" t="str">
        <f t="shared" ref="C8:C81" si="3">IF(I8&gt;0,"TAK",IF(L8&lt;0,"TAK","NIE"))</f>
        <v>NIE</v>
      </c>
      <c r="D8" s="19"/>
      <c r="E8" s="72"/>
      <c r="F8" s="72"/>
      <c r="G8" s="17"/>
      <c r="H8" s="89"/>
      <c r="I8" s="90"/>
      <c r="J8" s="11"/>
      <c r="K8" s="74"/>
      <c r="L8" s="156"/>
      <c r="M8" s="98"/>
      <c r="P8" s="98"/>
      <c r="R8" s="98"/>
      <c r="S8" s="98"/>
      <c r="T8" s="9"/>
      <c r="U8" s="97"/>
      <c r="V8" s="98"/>
    </row>
    <row r="9" spans="1:24" ht="24">
      <c r="A9" s="45" t="str">
        <f t="shared" si="2"/>
        <v>0</v>
      </c>
      <c r="B9" s="173">
        <v>71</v>
      </c>
      <c r="C9" s="1" t="str">
        <f t="shared" si="3"/>
        <v>TAK</v>
      </c>
      <c r="D9" s="19">
        <v>1</v>
      </c>
      <c r="E9" s="72" t="s">
        <v>4</v>
      </c>
      <c r="F9" s="72" t="s">
        <v>163</v>
      </c>
      <c r="G9" s="17">
        <v>6050</v>
      </c>
      <c r="H9" s="89" t="s">
        <v>164</v>
      </c>
      <c r="I9" s="90">
        <v>130000</v>
      </c>
      <c r="J9" s="11"/>
      <c r="K9" s="74"/>
      <c r="L9" s="156"/>
      <c r="M9" s="98"/>
      <c r="P9" s="98"/>
      <c r="R9" s="98"/>
      <c r="S9" s="98"/>
      <c r="T9" s="9"/>
      <c r="U9" s="97"/>
      <c r="V9" s="98"/>
    </row>
    <row r="10" spans="1:24" ht="24">
      <c r="A10" s="45" t="str">
        <f t="shared" si="2"/>
        <v>0</v>
      </c>
      <c r="B10" s="173">
        <v>72</v>
      </c>
      <c r="C10" s="1" t="str">
        <f t="shared" si="3"/>
        <v>TAK</v>
      </c>
      <c r="D10" s="19">
        <f>D9+1</f>
        <v>2</v>
      </c>
      <c r="E10" s="72" t="s">
        <v>4</v>
      </c>
      <c r="F10" s="72" t="s">
        <v>163</v>
      </c>
      <c r="G10" s="17">
        <v>6050</v>
      </c>
      <c r="H10" s="89" t="s">
        <v>165</v>
      </c>
      <c r="I10" s="90">
        <v>140000</v>
      </c>
      <c r="J10" s="11"/>
      <c r="K10" s="74"/>
      <c r="L10" s="156"/>
      <c r="M10" s="98"/>
      <c r="P10" s="98"/>
      <c r="R10" s="98"/>
      <c r="S10" s="98"/>
      <c r="T10" s="9"/>
      <c r="U10" s="97"/>
      <c r="V10" s="98"/>
    </row>
    <row r="11" spans="1:24" s="2" customFormat="1" ht="24">
      <c r="A11" s="45" t="str">
        <f t="shared" si="2"/>
        <v>0</v>
      </c>
      <c r="B11" s="173">
        <v>58</v>
      </c>
      <c r="C11" s="1" t="str">
        <f t="shared" si="3"/>
        <v>TAK</v>
      </c>
      <c r="D11" s="19">
        <f>D10+1</f>
        <v>3</v>
      </c>
      <c r="E11" s="72" t="s">
        <v>4</v>
      </c>
      <c r="F11" s="72" t="s">
        <v>14</v>
      </c>
      <c r="G11" s="17">
        <v>6050</v>
      </c>
      <c r="H11" s="30" t="s">
        <v>134</v>
      </c>
      <c r="I11" s="24">
        <f>107000+138000</f>
        <v>245000</v>
      </c>
      <c r="J11" s="11"/>
      <c r="K11" s="74"/>
      <c r="L11" s="156"/>
      <c r="N11" s="42"/>
      <c r="T11" s="9"/>
      <c r="U11" s="42"/>
      <c r="X11" s="43"/>
    </row>
    <row r="12" spans="1:24" s="2" customFormat="1" ht="24">
      <c r="A12" s="45" t="str">
        <f t="shared" si="2"/>
        <v>0</v>
      </c>
      <c r="B12" s="173">
        <v>1</v>
      </c>
      <c r="C12" s="1" t="str">
        <f t="shared" si="3"/>
        <v>TAK</v>
      </c>
      <c r="D12" s="19">
        <f>D11+1</f>
        <v>4</v>
      </c>
      <c r="E12" s="72" t="s">
        <v>4</v>
      </c>
      <c r="F12" s="72" t="s">
        <v>14</v>
      </c>
      <c r="G12" s="17">
        <v>6050</v>
      </c>
      <c r="H12" s="30" t="s">
        <v>131</v>
      </c>
      <c r="I12" s="24">
        <v>37805</v>
      </c>
      <c r="J12" s="11">
        <v>37802.129999999997</v>
      </c>
      <c r="K12" s="74" t="s">
        <v>116</v>
      </c>
      <c r="L12" s="156"/>
      <c r="M12" s="42"/>
      <c r="N12" s="42"/>
      <c r="P12" s="14"/>
      <c r="T12" s="9"/>
      <c r="U12" s="42"/>
    </row>
    <row r="13" spans="1:24" s="2" customFormat="1" ht="24">
      <c r="A13" s="45" t="str">
        <f t="shared" si="2"/>
        <v>0</v>
      </c>
      <c r="B13" s="173">
        <v>2</v>
      </c>
      <c r="C13" s="1" t="str">
        <f t="shared" si="3"/>
        <v>TAK</v>
      </c>
      <c r="D13" s="19">
        <f t="shared" ref="D13:D15" si="4">D12+1</f>
        <v>5</v>
      </c>
      <c r="E13" s="72" t="s">
        <v>4</v>
      </c>
      <c r="F13" s="72" t="s">
        <v>14</v>
      </c>
      <c r="G13" s="17">
        <v>6050</v>
      </c>
      <c r="H13" s="30" t="s">
        <v>185</v>
      </c>
      <c r="I13" s="24">
        <v>16330</v>
      </c>
      <c r="J13" s="11">
        <v>16325.44</v>
      </c>
      <c r="K13" s="74" t="s">
        <v>95</v>
      </c>
      <c r="L13" s="156"/>
      <c r="M13" s="42"/>
      <c r="N13" s="42"/>
      <c r="P13" s="14"/>
      <c r="T13" s="9"/>
      <c r="U13" s="42"/>
    </row>
    <row r="14" spans="1:24" s="2" customFormat="1" ht="40.5" customHeight="1">
      <c r="A14" s="45" t="str">
        <f t="shared" si="2"/>
        <v>0</v>
      </c>
      <c r="B14" s="173"/>
      <c r="C14" s="1" t="str">
        <f t="shared" si="3"/>
        <v>TAK</v>
      </c>
      <c r="D14" s="19">
        <f t="shared" si="4"/>
        <v>6</v>
      </c>
      <c r="E14" s="72" t="s">
        <v>4</v>
      </c>
      <c r="F14" s="72" t="s">
        <v>14</v>
      </c>
      <c r="G14" s="17">
        <v>6050</v>
      </c>
      <c r="H14" s="217" t="s">
        <v>194</v>
      </c>
      <c r="I14" s="218">
        <v>30000</v>
      </c>
      <c r="J14" s="11"/>
      <c r="K14" s="74"/>
      <c r="L14" s="156">
        <v>30000</v>
      </c>
      <c r="M14" s="42"/>
      <c r="N14" s="42"/>
      <c r="P14" s="14"/>
      <c r="T14" s="9"/>
      <c r="U14" s="42"/>
    </row>
    <row r="15" spans="1:24" s="2" customFormat="1">
      <c r="A15" s="45" t="str">
        <f t="shared" si="2"/>
        <v>0</v>
      </c>
      <c r="B15" s="173">
        <v>3</v>
      </c>
      <c r="C15" s="1" t="str">
        <f t="shared" si="3"/>
        <v>TAK</v>
      </c>
      <c r="D15" s="19">
        <f t="shared" si="4"/>
        <v>7</v>
      </c>
      <c r="E15" s="72" t="s">
        <v>4</v>
      </c>
      <c r="F15" s="72" t="s">
        <v>14</v>
      </c>
      <c r="G15" s="17">
        <v>6050</v>
      </c>
      <c r="H15" s="30" t="s">
        <v>94</v>
      </c>
      <c r="I15" s="24">
        <v>22650</v>
      </c>
      <c r="J15" s="11">
        <v>22648.35</v>
      </c>
      <c r="K15" s="74" t="s">
        <v>96</v>
      </c>
      <c r="L15" s="156"/>
      <c r="M15" s="42"/>
      <c r="N15" s="42"/>
      <c r="P15" s="14"/>
      <c r="T15" s="9"/>
      <c r="U15" s="42"/>
    </row>
    <row r="16" spans="1:24" s="2" customFormat="1" ht="96">
      <c r="A16" s="45" t="str">
        <f t="shared" si="2"/>
        <v>0</v>
      </c>
      <c r="B16" s="173">
        <v>4</v>
      </c>
      <c r="C16" s="1" t="str">
        <f t="shared" si="3"/>
        <v>TAK</v>
      </c>
      <c r="D16" s="19">
        <f t="shared" ref="D16:D21" si="5">D15+1</f>
        <v>8</v>
      </c>
      <c r="E16" s="72" t="s">
        <v>4</v>
      </c>
      <c r="F16" s="72" t="s">
        <v>14</v>
      </c>
      <c r="G16" s="17">
        <v>6050</v>
      </c>
      <c r="H16" s="30" t="s">
        <v>83</v>
      </c>
      <c r="I16" s="24">
        <f>25000+3000+20000+3026.16+4000</f>
        <v>55026.16</v>
      </c>
      <c r="J16" s="11">
        <f>25000+3026.16</f>
        <v>28026.16</v>
      </c>
      <c r="K16" s="74" t="s">
        <v>92</v>
      </c>
      <c r="L16" s="156"/>
      <c r="M16" s="42"/>
      <c r="N16" s="42"/>
      <c r="P16" s="14"/>
      <c r="T16" s="9"/>
      <c r="U16" s="42"/>
    </row>
    <row r="17" spans="1:22" s="2" customFormat="1" ht="36">
      <c r="A17" s="45" t="str">
        <f t="shared" si="2"/>
        <v>0</v>
      </c>
      <c r="B17" s="173">
        <v>77</v>
      </c>
      <c r="C17" s="1" t="str">
        <f t="shared" si="3"/>
        <v>TAK</v>
      </c>
      <c r="D17" s="19">
        <f t="shared" si="5"/>
        <v>9</v>
      </c>
      <c r="E17" s="72" t="s">
        <v>4</v>
      </c>
      <c r="F17" s="72" t="s">
        <v>14</v>
      </c>
      <c r="G17" s="17">
        <v>6050</v>
      </c>
      <c r="H17" s="30" t="s">
        <v>173</v>
      </c>
      <c r="I17" s="24">
        <v>16000</v>
      </c>
      <c r="J17" s="11"/>
      <c r="K17" s="74"/>
      <c r="L17" s="156"/>
      <c r="M17" s="42"/>
      <c r="P17" s="14"/>
      <c r="T17" s="9"/>
      <c r="U17" s="42"/>
    </row>
    <row r="18" spans="1:22" s="2" customFormat="1" ht="24">
      <c r="A18" s="45" t="str">
        <f t="shared" si="2"/>
        <v>0</v>
      </c>
      <c r="B18" s="173">
        <v>5</v>
      </c>
      <c r="C18" s="1" t="str">
        <f t="shared" si="3"/>
        <v>TAK</v>
      </c>
      <c r="D18" s="19">
        <f t="shared" si="5"/>
        <v>10</v>
      </c>
      <c r="E18" s="72" t="s">
        <v>4</v>
      </c>
      <c r="F18" s="72" t="s">
        <v>14</v>
      </c>
      <c r="G18" s="17">
        <v>6060</v>
      </c>
      <c r="H18" s="30" t="s">
        <v>87</v>
      </c>
      <c r="I18" s="24">
        <v>50000</v>
      </c>
      <c r="J18" s="11"/>
      <c r="K18" s="74"/>
      <c r="L18" s="156"/>
      <c r="M18" s="42"/>
      <c r="O18" s="98"/>
      <c r="P18" s="14"/>
      <c r="T18" s="9"/>
      <c r="U18" s="42"/>
    </row>
    <row r="19" spans="1:22" s="2" customFormat="1" ht="24">
      <c r="A19" s="45" t="str">
        <f t="shared" si="2"/>
        <v>0</v>
      </c>
      <c r="B19" s="173">
        <v>78</v>
      </c>
      <c r="C19" s="1" t="str">
        <f t="shared" si="3"/>
        <v>TAK</v>
      </c>
      <c r="D19" s="19">
        <f t="shared" si="5"/>
        <v>11</v>
      </c>
      <c r="E19" s="72" t="s">
        <v>4</v>
      </c>
      <c r="F19" s="72" t="s">
        <v>14</v>
      </c>
      <c r="G19" s="17">
        <v>6060</v>
      </c>
      <c r="H19" s="30" t="s">
        <v>170</v>
      </c>
      <c r="I19" s="24">
        <v>20000</v>
      </c>
      <c r="J19" s="11"/>
      <c r="K19" s="74"/>
      <c r="L19" s="156"/>
      <c r="M19" s="42"/>
      <c r="O19" s="98"/>
      <c r="P19" s="14"/>
      <c r="T19" s="9"/>
      <c r="U19" s="42"/>
    </row>
    <row r="20" spans="1:22" s="2" customFormat="1" ht="24">
      <c r="A20" s="45" t="str">
        <f t="shared" si="2"/>
        <v>0</v>
      </c>
      <c r="B20" s="173">
        <v>6</v>
      </c>
      <c r="C20" s="1" t="str">
        <f t="shared" si="3"/>
        <v>TAK</v>
      </c>
      <c r="D20" s="19">
        <f t="shared" si="5"/>
        <v>12</v>
      </c>
      <c r="E20" s="72" t="s">
        <v>4</v>
      </c>
      <c r="F20" s="72" t="s">
        <v>14</v>
      </c>
      <c r="G20" s="17">
        <v>6060</v>
      </c>
      <c r="H20" s="30" t="s">
        <v>130</v>
      </c>
      <c r="I20" s="24">
        <f>100000+100000</f>
        <v>200000</v>
      </c>
      <c r="J20" s="11">
        <v>50000</v>
      </c>
      <c r="K20" s="74" t="s">
        <v>91</v>
      </c>
      <c r="L20" s="156"/>
      <c r="M20" s="42"/>
      <c r="P20" s="14"/>
      <c r="T20" s="9"/>
      <c r="U20" s="42"/>
    </row>
    <row r="21" spans="1:22" s="2" customFormat="1" ht="13.5" thickBot="1">
      <c r="A21" s="45" t="str">
        <f t="shared" si="2"/>
        <v>0</v>
      </c>
      <c r="B21" s="173">
        <v>7</v>
      </c>
      <c r="C21" s="1" t="str">
        <f t="shared" si="3"/>
        <v>TAK</v>
      </c>
      <c r="D21" s="91">
        <f t="shared" si="5"/>
        <v>13</v>
      </c>
      <c r="E21" s="166" t="s">
        <v>4</v>
      </c>
      <c r="F21" s="166" t="s">
        <v>14</v>
      </c>
      <c r="G21" s="95">
        <v>6060</v>
      </c>
      <c r="H21" s="101" t="s">
        <v>89</v>
      </c>
      <c r="I21" s="186">
        <f>26000+18000</f>
        <v>44000</v>
      </c>
      <c r="J21" s="167">
        <v>13000</v>
      </c>
      <c r="K21" s="108" t="s">
        <v>93</v>
      </c>
      <c r="L21" s="156"/>
      <c r="M21" s="42"/>
      <c r="P21" s="14"/>
      <c r="T21" s="9"/>
      <c r="U21" s="42"/>
    </row>
    <row r="22" spans="1:22" ht="13.5" thickBot="1">
      <c r="A22" s="45" t="str">
        <f t="shared" si="2"/>
        <v>X</v>
      </c>
      <c r="B22" s="173" t="s">
        <v>0</v>
      </c>
      <c r="C22" s="1" t="str">
        <f t="shared" si="3"/>
        <v>TAK</v>
      </c>
      <c r="D22" s="22" t="s">
        <v>8</v>
      </c>
      <c r="E22" s="18" t="s">
        <v>4</v>
      </c>
      <c r="F22" s="18" t="s">
        <v>8</v>
      </c>
      <c r="G22" s="18" t="s">
        <v>8</v>
      </c>
      <c r="H22" s="219" t="s">
        <v>9</v>
      </c>
      <c r="I22" s="220">
        <f>SUM(I7:I21)</f>
        <v>1006811.16</v>
      </c>
      <c r="J22" s="220">
        <f>SUM(J7:J21)</f>
        <v>167802.08000000002</v>
      </c>
      <c r="K22" s="168"/>
      <c r="L22" s="221">
        <f>SUM(L7:L21)</f>
        <v>30000</v>
      </c>
      <c r="R22" s="98"/>
      <c r="S22" s="98"/>
      <c r="T22" s="116"/>
      <c r="U22" s="97"/>
      <c r="V22" s="98"/>
    </row>
    <row r="23" spans="1:22" hidden="1">
      <c r="A23" s="45" t="str">
        <f t="shared" si="2"/>
        <v>0</v>
      </c>
      <c r="B23" s="173">
        <v>8</v>
      </c>
      <c r="C23" s="1" t="str">
        <f t="shared" si="3"/>
        <v>NIE</v>
      </c>
      <c r="D23" s="84"/>
      <c r="E23" s="85">
        <v>600</v>
      </c>
      <c r="F23" s="85">
        <v>60004</v>
      </c>
      <c r="G23" s="128">
        <v>6050</v>
      </c>
      <c r="H23" s="131" t="s">
        <v>97</v>
      </c>
      <c r="I23" s="129">
        <f>J23</f>
        <v>0</v>
      </c>
      <c r="J23" s="87">
        <v>0</v>
      </c>
      <c r="K23" s="109" t="s">
        <v>98</v>
      </c>
      <c r="L23" s="149"/>
      <c r="R23" s="98"/>
      <c r="S23" s="98"/>
      <c r="T23" s="9"/>
      <c r="U23" s="97"/>
      <c r="V23" s="98"/>
    </row>
    <row r="24" spans="1:22" ht="60" hidden="1">
      <c r="A24" s="45" t="str">
        <f t="shared" si="2"/>
        <v>0</v>
      </c>
      <c r="B24" s="173">
        <v>9</v>
      </c>
      <c r="C24" s="1" t="str">
        <f t="shared" si="3"/>
        <v>NIE</v>
      </c>
      <c r="D24" s="19"/>
      <c r="E24" s="16">
        <v>600</v>
      </c>
      <c r="F24" s="16">
        <v>60004</v>
      </c>
      <c r="G24" s="17">
        <v>6050</v>
      </c>
      <c r="H24" s="31" t="s">
        <v>99</v>
      </c>
      <c r="I24" s="11">
        <f>J24</f>
        <v>0</v>
      </c>
      <c r="J24" s="10">
        <v>0</v>
      </c>
      <c r="K24" s="74" t="s">
        <v>100</v>
      </c>
      <c r="L24" s="136"/>
      <c r="R24" s="98"/>
      <c r="S24" s="98"/>
      <c r="T24" s="9"/>
      <c r="U24" s="97"/>
      <c r="V24" s="98"/>
    </row>
    <row r="25" spans="1:22" ht="19.5" customHeight="1">
      <c r="A25" s="45" t="str">
        <f t="shared" si="2"/>
        <v>0</v>
      </c>
      <c r="B25" s="173">
        <v>62</v>
      </c>
      <c r="C25" s="1" t="str">
        <f t="shared" si="3"/>
        <v>TAK</v>
      </c>
      <c r="D25" s="19">
        <f>D21+1</f>
        <v>14</v>
      </c>
      <c r="E25" s="16">
        <v>600</v>
      </c>
      <c r="F25" s="16">
        <v>60004</v>
      </c>
      <c r="G25" s="17">
        <v>6050</v>
      </c>
      <c r="H25" s="31" t="s">
        <v>147</v>
      </c>
      <c r="I25" s="11">
        <v>50000</v>
      </c>
      <c r="J25" s="10"/>
      <c r="K25" s="74"/>
      <c r="L25" s="136"/>
      <c r="R25" s="98"/>
      <c r="S25" s="98"/>
      <c r="T25" s="9"/>
      <c r="U25" s="97"/>
      <c r="V25" s="98"/>
    </row>
    <row r="26" spans="1:22" ht="19.5" customHeight="1">
      <c r="A26" s="45" t="str">
        <f t="shared" si="2"/>
        <v>0</v>
      </c>
      <c r="B26" s="173">
        <v>91</v>
      </c>
      <c r="C26" s="1" t="str">
        <f t="shared" si="3"/>
        <v>TAK</v>
      </c>
      <c r="D26" s="19">
        <f t="shared" ref="D26:D27" si="6">D25+1</f>
        <v>15</v>
      </c>
      <c r="E26" s="16">
        <v>600</v>
      </c>
      <c r="F26" s="16">
        <v>60004</v>
      </c>
      <c r="G26" s="17">
        <v>6060</v>
      </c>
      <c r="H26" s="31" t="s">
        <v>189</v>
      </c>
      <c r="I26" s="11">
        <v>15000</v>
      </c>
      <c r="J26" s="10">
        <v>15000</v>
      </c>
      <c r="K26" s="74" t="s">
        <v>98</v>
      </c>
      <c r="L26" s="136"/>
      <c r="R26" s="98"/>
      <c r="S26" s="98"/>
      <c r="T26" s="9"/>
      <c r="U26" s="97"/>
      <c r="V26" s="98"/>
    </row>
    <row r="27" spans="1:22" ht="26.25" customHeight="1">
      <c r="A27" s="45" t="str">
        <f t="shared" si="2"/>
        <v>0</v>
      </c>
      <c r="B27" s="173">
        <v>67</v>
      </c>
      <c r="C27" s="1" t="str">
        <f t="shared" si="3"/>
        <v>TAK</v>
      </c>
      <c r="D27" s="19">
        <f t="shared" si="6"/>
        <v>16</v>
      </c>
      <c r="E27" s="16">
        <v>600</v>
      </c>
      <c r="F27" s="16" t="s">
        <v>158</v>
      </c>
      <c r="G27" s="17">
        <v>6050</v>
      </c>
      <c r="H27" s="31" t="s">
        <v>159</v>
      </c>
      <c r="I27" s="11">
        <v>450000</v>
      </c>
      <c r="J27" s="10"/>
      <c r="K27" s="74"/>
      <c r="L27" s="136"/>
      <c r="R27" s="98"/>
      <c r="S27" s="98"/>
      <c r="T27" s="9"/>
      <c r="U27" s="97"/>
      <c r="V27" s="98"/>
    </row>
    <row r="28" spans="1:22" ht="32.25" customHeight="1" thickBot="1">
      <c r="A28" s="45" t="str">
        <f t="shared" si="2"/>
        <v>0</v>
      </c>
      <c r="B28" s="173">
        <v>10</v>
      </c>
      <c r="C28" s="1" t="str">
        <f t="shared" si="3"/>
        <v>TAK</v>
      </c>
      <c r="D28" s="91">
        <f t="shared" ref="D28" si="7">D27+1</f>
        <v>17</v>
      </c>
      <c r="E28" s="92" t="s">
        <v>6</v>
      </c>
      <c r="F28" s="92" t="s">
        <v>88</v>
      </c>
      <c r="G28" s="95">
        <v>6300</v>
      </c>
      <c r="H28" s="130" t="s">
        <v>186</v>
      </c>
      <c r="I28" s="211">
        <f>1000000-462000</f>
        <v>538000</v>
      </c>
      <c r="J28" s="93"/>
      <c r="K28" s="108"/>
      <c r="L28" s="150">
        <v>-462000</v>
      </c>
      <c r="N28" s="98">
        <f>200000+338000</f>
        <v>538000</v>
      </c>
      <c r="O28" s="97">
        <f>I28-N28</f>
        <v>0</v>
      </c>
      <c r="P28" s="98"/>
      <c r="R28" s="98"/>
      <c r="S28" s="98"/>
      <c r="T28" s="9"/>
      <c r="U28" s="97"/>
      <c r="V28" s="98"/>
    </row>
    <row r="29" spans="1:22" ht="25.5" hidden="1" customHeight="1">
      <c r="A29" s="45" t="str">
        <f t="shared" si="2"/>
        <v>0</v>
      </c>
      <c r="B29" s="173">
        <v>79</v>
      </c>
      <c r="C29" s="1" t="str">
        <f t="shared" si="3"/>
        <v>NIE</v>
      </c>
      <c r="D29" s="48"/>
      <c r="E29" s="50" t="s">
        <v>6</v>
      </c>
      <c r="F29" s="50" t="s">
        <v>88</v>
      </c>
      <c r="G29" s="196">
        <v>6300</v>
      </c>
      <c r="H29" s="197" t="s">
        <v>174</v>
      </c>
      <c r="I29" s="198">
        <f>332000-332000</f>
        <v>0</v>
      </c>
      <c r="J29" s="51"/>
      <c r="K29" s="110"/>
      <c r="L29" s="151"/>
      <c r="P29" s="98"/>
      <c r="R29" s="98"/>
      <c r="S29" s="98"/>
      <c r="T29" s="9"/>
      <c r="U29" s="97"/>
      <c r="V29" s="98"/>
    </row>
    <row r="30" spans="1:22">
      <c r="A30" s="45" t="str">
        <f t="shared" si="2"/>
        <v>0</v>
      </c>
      <c r="B30" s="173">
        <v>11</v>
      </c>
      <c r="C30" s="1" t="str">
        <f t="shared" si="3"/>
        <v>TAK</v>
      </c>
      <c r="D30" s="84">
        <f>D28+1</f>
        <v>18</v>
      </c>
      <c r="E30" s="85">
        <v>600</v>
      </c>
      <c r="F30" s="85">
        <v>60016</v>
      </c>
      <c r="G30" s="128">
        <v>6050</v>
      </c>
      <c r="H30" s="206" t="s">
        <v>78</v>
      </c>
      <c r="I30" s="129">
        <v>40000</v>
      </c>
      <c r="J30" s="87">
        <v>23000</v>
      </c>
      <c r="K30" s="109" t="s">
        <v>101</v>
      </c>
      <c r="L30" s="149"/>
      <c r="R30" s="98"/>
      <c r="S30" s="98"/>
      <c r="T30" s="9"/>
      <c r="U30" s="97"/>
      <c r="V30" s="98"/>
    </row>
    <row r="31" spans="1:22" ht="31.5" customHeight="1">
      <c r="A31" s="45" t="str">
        <f t="shared" si="2"/>
        <v>0</v>
      </c>
      <c r="B31" s="173">
        <v>12</v>
      </c>
      <c r="C31" s="1" t="str">
        <f t="shared" si="3"/>
        <v>TAK</v>
      </c>
      <c r="D31" s="19">
        <f>D30+1</f>
        <v>19</v>
      </c>
      <c r="E31" s="16">
        <v>600</v>
      </c>
      <c r="F31" s="16">
        <v>60016</v>
      </c>
      <c r="G31" s="17">
        <v>6050</v>
      </c>
      <c r="H31" s="31" t="s">
        <v>102</v>
      </c>
      <c r="I31" s="11">
        <f>55000+38000</f>
        <v>93000</v>
      </c>
      <c r="J31" s="10">
        <v>32073.99</v>
      </c>
      <c r="K31" s="74" t="s">
        <v>103</v>
      </c>
      <c r="L31" s="136"/>
      <c r="R31" s="98"/>
      <c r="S31" s="98"/>
      <c r="T31" s="9"/>
      <c r="U31" s="97"/>
      <c r="V31" s="98"/>
    </row>
    <row r="32" spans="1:22" ht="36">
      <c r="A32" s="45" t="str">
        <f t="shared" si="2"/>
        <v>0</v>
      </c>
      <c r="B32" s="173">
        <v>63</v>
      </c>
      <c r="C32" s="1" t="str">
        <f t="shared" si="3"/>
        <v>TAK</v>
      </c>
      <c r="D32" s="19">
        <f t="shared" ref="D32:D35" si="8">D31+1</f>
        <v>20</v>
      </c>
      <c r="E32" s="16">
        <v>600</v>
      </c>
      <c r="F32" s="16">
        <v>60016</v>
      </c>
      <c r="G32" s="17">
        <v>6050</v>
      </c>
      <c r="H32" s="31" t="s">
        <v>144</v>
      </c>
      <c r="I32" s="11">
        <f>19000+6150</f>
        <v>25150</v>
      </c>
      <c r="J32" s="10"/>
      <c r="K32" s="74"/>
      <c r="L32" s="136"/>
      <c r="P32" s="98"/>
      <c r="R32" s="98"/>
      <c r="S32" s="98"/>
      <c r="T32" s="9"/>
      <c r="U32" s="97"/>
      <c r="V32" s="98"/>
    </row>
    <row r="33" spans="1:22" ht="24" hidden="1">
      <c r="A33" s="45" t="str">
        <f t="shared" si="2"/>
        <v>0</v>
      </c>
      <c r="B33" s="173">
        <v>13</v>
      </c>
      <c r="C33" s="1" t="str">
        <f t="shared" si="3"/>
        <v>NIE</v>
      </c>
      <c r="D33" s="19"/>
      <c r="E33" s="16">
        <v>600</v>
      </c>
      <c r="F33" s="16">
        <v>60016</v>
      </c>
      <c r="G33" s="17">
        <v>6050</v>
      </c>
      <c r="H33" s="31" t="s">
        <v>117</v>
      </c>
      <c r="I33" s="11">
        <f>J33</f>
        <v>0</v>
      </c>
      <c r="J33" s="10">
        <f>22300-22300</f>
        <v>0</v>
      </c>
      <c r="K33" s="74" t="s">
        <v>104</v>
      </c>
      <c r="L33" s="136"/>
      <c r="R33" s="98"/>
      <c r="S33" s="98"/>
      <c r="T33" s="9"/>
      <c r="U33" s="97"/>
      <c r="V33" s="98"/>
    </row>
    <row r="34" spans="1:22" ht="48">
      <c r="A34" s="45" t="str">
        <f t="shared" si="2"/>
        <v>0</v>
      </c>
      <c r="B34" s="173">
        <v>80</v>
      </c>
      <c r="C34" s="1" t="str">
        <f t="shared" si="3"/>
        <v>TAK</v>
      </c>
      <c r="D34" s="19">
        <f>D32+1</f>
        <v>21</v>
      </c>
      <c r="E34" s="16">
        <v>600</v>
      </c>
      <c r="F34" s="16">
        <v>60016</v>
      </c>
      <c r="G34" s="17">
        <v>6050</v>
      </c>
      <c r="H34" s="31" t="s">
        <v>172</v>
      </c>
      <c r="I34" s="11">
        <v>40000</v>
      </c>
      <c r="J34" s="10"/>
      <c r="K34" s="74"/>
      <c r="L34" s="136"/>
      <c r="R34" s="98"/>
      <c r="S34" s="98"/>
      <c r="T34" s="9"/>
      <c r="U34" s="97"/>
      <c r="V34" s="98"/>
    </row>
    <row r="35" spans="1:22" ht="24">
      <c r="A35" s="45" t="str">
        <f t="shared" si="2"/>
        <v>0</v>
      </c>
      <c r="B35" s="173">
        <v>14</v>
      </c>
      <c r="C35" s="1" t="str">
        <f t="shared" si="3"/>
        <v>TAK</v>
      </c>
      <c r="D35" s="19">
        <f t="shared" si="8"/>
        <v>22</v>
      </c>
      <c r="E35" s="16">
        <v>600</v>
      </c>
      <c r="F35" s="16">
        <v>60016</v>
      </c>
      <c r="G35" s="17">
        <v>6050</v>
      </c>
      <c r="H35" s="31" t="s">
        <v>105</v>
      </c>
      <c r="I35" s="11">
        <f>J35</f>
        <v>25000</v>
      </c>
      <c r="J35" s="10">
        <v>25000</v>
      </c>
      <c r="K35" s="74" t="s">
        <v>106</v>
      </c>
      <c r="L35" s="136"/>
      <c r="R35" s="98"/>
      <c r="S35" s="98"/>
      <c r="T35" s="9"/>
      <c r="U35" s="97"/>
      <c r="V35" s="98"/>
    </row>
    <row r="36" spans="1:22" ht="22.5">
      <c r="A36" s="45" t="str">
        <f t="shared" si="2"/>
        <v>0</v>
      </c>
      <c r="B36" s="173">
        <v>15</v>
      </c>
      <c r="C36" s="1" t="str">
        <f t="shared" si="3"/>
        <v>TAK</v>
      </c>
      <c r="D36" s="19">
        <f t="shared" ref="D36:D46" si="9">D35+1</f>
        <v>23</v>
      </c>
      <c r="E36" s="16">
        <v>600</v>
      </c>
      <c r="F36" s="16">
        <v>60016</v>
      </c>
      <c r="G36" s="17">
        <v>6050</v>
      </c>
      <c r="H36" s="31" t="s">
        <v>107</v>
      </c>
      <c r="I36" s="11">
        <f>J36</f>
        <v>7000</v>
      </c>
      <c r="J36" s="10">
        <f>7000</f>
        <v>7000</v>
      </c>
      <c r="K36" s="74" t="s">
        <v>108</v>
      </c>
      <c r="L36" s="136"/>
      <c r="R36" s="98"/>
      <c r="S36" s="98"/>
      <c r="T36" s="9"/>
      <c r="U36" s="97"/>
      <c r="V36" s="98"/>
    </row>
    <row r="37" spans="1:22" ht="24" hidden="1">
      <c r="A37" s="45" t="str">
        <f t="shared" si="2"/>
        <v>0</v>
      </c>
      <c r="B37" s="173">
        <v>16</v>
      </c>
      <c r="C37" s="1" t="str">
        <f t="shared" si="3"/>
        <v>NIE</v>
      </c>
      <c r="D37" s="19"/>
      <c r="E37" s="16">
        <v>600</v>
      </c>
      <c r="F37" s="16">
        <v>60016</v>
      </c>
      <c r="G37" s="17">
        <v>6050</v>
      </c>
      <c r="H37" s="31" t="s">
        <v>109</v>
      </c>
      <c r="I37" s="11">
        <f>J37</f>
        <v>0</v>
      </c>
      <c r="J37" s="10">
        <v>0</v>
      </c>
      <c r="K37" s="74" t="s">
        <v>110</v>
      </c>
      <c r="L37" s="136"/>
      <c r="R37" s="98"/>
      <c r="S37" s="98"/>
      <c r="T37" s="9"/>
      <c r="U37" s="97"/>
      <c r="V37" s="98"/>
    </row>
    <row r="38" spans="1:22" ht="24">
      <c r="A38" s="45" t="str">
        <f t="shared" si="2"/>
        <v>0</v>
      </c>
      <c r="B38" s="173">
        <v>17</v>
      </c>
      <c r="C38" s="1" t="str">
        <f t="shared" si="3"/>
        <v>TAK</v>
      </c>
      <c r="D38" s="19">
        <f>D36+1</f>
        <v>24</v>
      </c>
      <c r="E38" s="16">
        <v>600</v>
      </c>
      <c r="F38" s="16">
        <v>60016</v>
      </c>
      <c r="G38" s="17">
        <v>6050</v>
      </c>
      <c r="H38" s="31" t="s">
        <v>84</v>
      </c>
      <c r="I38" s="11">
        <v>100000</v>
      </c>
      <c r="J38" s="10"/>
      <c r="K38" s="74"/>
      <c r="L38" s="136"/>
      <c r="R38" s="98"/>
      <c r="S38" s="98"/>
      <c r="T38" s="9"/>
      <c r="U38" s="97"/>
      <c r="V38" s="98"/>
    </row>
    <row r="39" spans="1:22" ht="24">
      <c r="A39" s="45" t="str">
        <f t="shared" si="2"/>
        <v>0</v>
      </c>
      <c r="B39" s="173">
        <v>18</v>
      </c>
      <c r="C39" s="1" t="str">
        <f t="shared" si="3"/>
        <v>TAK</v>
      </c>
      <c r="D39" s="19">
        <f t="shared" si="9"/>
        <v>25</v>
      </c>
      <c r="E39" s="16">
        <v>600</v>
      </c>
      <c r="F39" s="16">
        <v>60016</v>
      </c>
      <c r="G39" s="17">
        <v>6050</v>
      </c>
      <c r="H39" s="31" t="s">
        <v>145</v>
      </c>
      <c r="I39" s="11">
        <f>26000+29000</f>
        <v>55000</v>
      </c>
      <c r="J39" s="10"/>
      <c r="K39" s="74"/>
      <c r="L39" s="136"/>
      <c r="R39" s="98"/>
      <c r="S39" s="98"/>
      <c r="T39" s="9"/>
      <c r="U39" s="97"/>
      <c r="V39" s="98"/>
    </row>
    <row r="40" spans="1:22">
      <c r="A40" s="45" t="str">
        <f t="shared" si="2"/>
        <v>0</v>
      </c>
      <c r="B40" s="173">
        <v>19</v>
      </c>
      <c r="C40" s="1" t="str">
        <f t="shared" si="3"/>
        <v>TAK</v>
      </c>
      <c r="D40" s="19">
        <f t="shared" si="9"/>
        <v>26</v>
      </c>
      <c r="E40" s="16">
        <v>600</v>
      </c>
      <c r="F40" s="16">
        <v>60016</v>
      </c>
      <c r="G40" s="17">
        <v>6050</v>
      </c>
      <c r="H40" s="31" t="s">
        <v>121</v>
      </c>
      <c r="I40" s="11">
        <f>200000+50000</f>
        <v>250000</v>
      </c>
      <c r="J40" s="10"/>
      <c r="K40" s="74"/>
      <c r="L40" s="136"/>
      <c r="M40" s="98"/>
      <c r="R40" s="98"/>
      <c r="S40" s="98"/>
      <c r="T40" s="9"/>
      <c r="U40" s="97"/>
      <c r="V40" s="98"/>
    </row>
    <row r="41" spans="1:22">
      <c r="A41" s="45" t="str">
        <f t="shared" si="2"/>
        <v>0</v>
      </c>
      <c r="B41" s="173">
        <v>20</v>
      </c>
      <c r="C41" s="1" t="str">
        <f t="shared" si="3"/>
        <v>TAK</v>
      </c>
      <c r="D41" s="19">
        <f t="shared" si="9"/>
        <v>27</v>
      </c>
      <c r="E41" s="16">
        <v>600</v>
      </c>
      <c r="F41" s="16">
        <v>60016</v>
      </c>
      <c r="G41" s="17">
        <v>6050</v>
      </c>
      <c r="H41" s="31" t="s">
        <v>122</v>
      </c>
      <c r="I41" s="11">
        <f>300000+40000+10000</f>
        <v>350000</v>
      </c>
      <c r="J41" s="10"/>
      <c r="K41" s="74"/>
      <c r="L41" s="136"/>
      <c r="M41" s="98"/>
      <c r="R41" s="98"/>
      <c r="S41" s="98"/>
      <c r="T41" s="9"/>
      <c r="U41" s="97"/>
      <c r="V41" s="98"/>
    </row>
    <row r="42" spans="1:22" ht="120">
      <c r="A42" s="45" t="str">
        <f t="shared" si="2"/>
        <v>8</v>
      </c>
      <c r="B42" s="173">
        <v>21</v>
      </c>
      <c r="C42" s="1" t="str">
        <f t="shared" si="3"/>
        <v>TAK</v>
      </c>
      <c r="D42" s="19">
        <f t="shared" si="9"/>
        <v>28</v>
      </c>
      <c r="E42" s="16" t="s">
        <v>6</v>
      </c>
      <c r="F42" s="16" t="s">
        <v>5</v>
      </c>
      <c r="G42" s="69">
        <v>6058</v>
      </c>
      <c r="H42" s="31" t="s">
        <v>49</v>
      </c>
      <c r="I42" s="11">
        <f>0.7*1130000-565000-81000+216860</f>
        <v>361860</v>
      </c>
      <c r="J42" s="10"/>
      <c r="K42" s="74"/>
      <c r="L42" s="136"/>
      <c r="R42" s="98"/>
      <c r="S42" s="98"/>
      <c r="T42" s="9"/>
      <c r="U42" s="97"/>
      <c r="V42" s="97"/>
    </row>
    <row r="43" spans="1:22" ht="120">
      <c r="A43" s="45" t="str">
        <f t="shared" si="2"/>
        <v>9</v>
      </c>
      <c r="B43" s="173">
        <v>22</v>
      </c>
      <c r="C43" s="1" t="str">
        <f t="shared" si="3"/>
        <v>TAK</v>
      </c>
      <c r="D43" s="19">
        <f t="shared" si="9"/>
        <v>29</v>
      </c>
      <c r="E43" s="16" t="s">
        <v>6</v>
      </c>
      <c r="F43" s="16" t="s">
        <v>5</v>
      </c>
      <c r="G43" s="69">
        <v>6059</v>
      </c>
      <c r="H43" s="31" t="s">
        <v>49</v>
      </c>
      <c r="I43" s="11">
        <f>0.3*1130000+565000+136000-216860</f>
        <v>823140</v>
      </c>
      <c r="J43" s="10"/>
      <c r="K43" s="74"/>
      <c r="L43" s="136"/>
      <c r="R43" s="98"/>
      <c r="S43" s="98"/>
      <c r="T43" s="9"/>
      <c r="U43" s="97"/>
      <c r="V43" s="98"/>
    </row>
    <row r="44" spans="1:22" ht="60">
      <c r="A44" s="45" t="str">
        <f t="shared" si="2"/>
        <v>8</v>
      </c>
      <c r="B44" s="173">
        <v>23</v>
      </c>
      <c r="C44" s="1" t="str">
        <f t="shared" si="3"/>
        <v>TAK</v>
      </c>
      <c r="D44" s="19">
        <f t="shared" si="9"/>
        <v>30</v>
      </c>
      <c r="E44" s="16" t="s">
        <v>6</v>
      </c>
      <c r="F44" s="16" t="s">
        <v>5</v>
      </c>
      <c r="G44" s="96">
        <v>6058</v>
      </c>
      <c r="H44" s="31" t="s">
        <v>77</v>
      </c>
      <c r="I44" s="11">
        <f>6250000*0.7</f>
        <v>4375000</v>
      </c>
      <c r="J44" s="10"/>
      <c r="K44" s="74"/>
      <c r="L44" s="136"/>
      <c r="N44" s="97"/>
      <c r="R44" s="98"/>
      <c r="S44" s="98"/>
      <c r="T44" s="9"/>
      <c r="U44" s="97"/>
      <c r="V44" s="98"/>
    </row>
    <row r="45" spans="1:22" ht="60">
      <c r="A45" s="45" t="str">
        <f t="shared" si="2"/>
        <v>9</v>
      </c>
      <c r="B45" s="173">
        <v>24</v>
      </c>
      <c r="C45" s="1" t="str">
        <f t="shared" si="3"/>
        <v>TAK</v>
      </c>
      <c r="D45" s="19">
        <f t="shared" si="9"/>
        <v>31</v>
      </c>
      <c r="E45" s="16" t="s">
        <v>6</v>
      </c>
      <c r="F45" s="16" t="s">
        <v>5</v>
      </c>
      <c r="G45" s="96">
        <v>6059</v>
      </c>
      <c r="H45" s="31" t="s">
        <v>77</v>
      </c>
      <c r="I45" s="11">
        <f>6250000*0.3</f>
        <v>1875000</v>
      </c>
      <c r="J45" s="10"/>
      <c r="K45" s="74"/>
      <c r="L45" s="136"/>
      <c r="R45" s="98"/>
      <c r="S45" s="98"/>
      <c r="T45" s="9"/>
      <c r="U45" s="97"/>
      <c r="V45" s="98"/>
    </row>
    <row r="46" spans="1:22" ht="96">
      <c r="A46" s="45" t="str">
        <f t="shared" si="2"/>
        <v>8</v>
      </c>
      <c r="B46" s="173">
        <v>25</v>
      </c>
      <c r="C46" s="1" t="str">
        <f t="shared" si="3"/>
        <v>TAK</v>
      </c>
      <c r="D46" s="19">
        <f t="shared" si="9"/>
        <v>32</v>
      </c>
      <c r="E46" s="16" t="s">
        <v>6</v>
      </c>
      <c r="F46" s="16" t="s">
        <v>5</v>
      </c>
      <c r="G46" s="70">
        <v>6058</v>
      </c>
      <c r="H46" s="31" t="s">
        <v>81</v>
      </c>
      <c r="I46" s="11">
        <v>2390000</v>
      </c>
      <c r="J46" s="10"/>
      <c r="K46" s="74"/>
      <c r="L46" s="136"/>
      <c r="R46" s="98"/>
      <c r="S46" s="98"/>
      <c r="T46" s="9"/>
      <c r="U46" s="97"/>
      <c r="V46" s="97"/>
    </row>
    <row r="47" spans="1:22" ht="96.75" thickBot="1">
      <c r="A47" s="45" t="str">
        <f t="shared" si="2"/>
        <v>9</v>
      </c>
      <c r="B47" s="173">
        <v>26</v>
      </c>
      <c r="C47" s="1" t="str">
        <f t="shared" si="3"/>
        <v>TAK</v>
      </c>
      <c r="D47" s="91">
        <f t="shared" ref="D47:D57" si="10">D46+1</f>
        <v>33</v>
      </c>
      <c r="E47" s="92" t="s">
        <v>6</v>
      </c>
      <c r="F47" s="92" t="s">
        <v>5</v>
      </c>
      <c r="G47" s="207">
        <v>6059</v>
      </c>
      <c r="H47" s="130" t="s">
        <v>81</v>
      </c>
      <c r="I47" s="167">
        <f>3004000-I46</f>
        <v>614000</v>
      </c>
      <c r="J47" s="93"/>
      <c r="K47" s="108"/>
      <c r="L47" s="150"/>
      <c r="R47" s="98"/>
      <c r="S47" s="98"/>
      <c r="T47" s="9"/>
      <c r="U47" s="97"/>
      <c r="V47" s="98"/>
    </row>
    <row r="48" spans="1:22" ht="13.5" hidden="1" thickBot="1">
      <c r="A48" s="45" t="str">
        <f t="shared" si="2"/>
        <v>0</v>
      </c>
      <c r="B48" s="173">
        <v>81</v>
      </c>
      <c r="C48" s="1" t="str">
        <f t="shared" si="3"/>
        <v>NIE</v>
      </c>
      <c r="D48" s="48"/>
      <c r="E48" s="50" t="s">
        <v>6</v>
      </c>
      <c r="F48" s="50">
        <v>60016</v>
      </c>
      <c r="G48" s="196">
        <v>6050</v>
      </c>
      <c r="H48" s="199" t="s">
        <v>179</v>
      </c>
      <c r="I48" s="200">
        <f>38000-38000</f>
        <v>0</v>
      </c>
      <c r="J48" s="51"/>
      <c r="K48" s="110"/>
      <c r="L48" s="151"/>
      <c r="P48" s="98"/>
      <c r="R48" s="98"/>
      <c r="S48" s="98"/>
      <c r="T48" s="9"/>
      <c r="U48" s="97"/>
      <c r="V48" s="98"/>
    </row>
    <row r="49" spans="1:22" ht="24">
      <c r="A49" s="45" t="str">
        <f t="shared" si="2"/>
        <v>0</v>
      </c>
      <c r="B49" s="173">
        <v>82</v>
      </c>
      <c r="C49" s="1" t="str">
        <f t="shared" si="3"/>
        <v>TAK</v>
      </c>
      <c r="D49" s="84">
        <f>D47+1</f>
        <v>34</v>
      </c>
      <c r="E49" s="85" t="s">
        <v>6</v>
      </c>
      <c r="F49" s="85">
        <v>60016</v>
      </c>
      <c r="G49" s="128">
        <v>6050</v>
      </c>
      <c r="H49" s="208" t="s">
        <v>180</v>
      </c>
      <c r="I49" s="209">
        <v>18000</v>
      </c>
      <c r="J49" s="87"/>
      <c r="K49" s="109"/>
      <c r="L49" s="149"/>
      <c r="M49" s="98"/>
      <c r="P49" s="98"/>
      <c r="R49" s="98"/>
      <c r="S49" s="98"/>
      <c r="T49" s="9"/>
      <c r="U49" s="97"/>
      <c r="V49" s="98"/>
    </row>
    <row r="50" spans="1:22" ht="96">
      <c r="A50" s="45" t="str">
        <f t="shared" si="2"/>
        <v>0</v>
      </c>
      <c r="B50" s="173">
        <v>83</v>
      </c>
      <c r="C50" s="1" t="str">
        <f t="shared" si="3"/>
        <v>TAK</v>
      </c>
      <c r="D50" s="19">
        <f t="shared" si="10"/>
        <v>35</v>
      </c>
      <c r="E50" s="16" t="s">
        <v>6</v>
      </c>
      <c r="F50" s="16" t="s">
        <v>5</v>
      </c>
      <c r="G50" s="17">
        <v>6050</v>
      </c>
      <c r="H50" s="184" t="s">
        <v>181</v>
      </c>
      <c r="I50" s="185">
        <f>69000-19000</f>
        <v>50000</v>
      </c>
      <c r="J50" s="10"/>
      <c r="K50" s="74"/>
      <c r="L50" s="136"/>
      <c r="M50" s="98"/>
      <c r="N50" s="97"/>
      <c r="P50" s="98"/>
      <c r="R50" s="98"/>
      <c r="S50" s="98"/>
      <c r="T50" s="9"/>
      <c r="U50" s="97"/>
      <c r="V50" s="98"/>
    </row>
    <row r="51" spans="1:22" ht="36">
      <c r="A51" s="45" t="str">
        <f t="shared" si="2"/>
        <v>0</v>
      </c>
      <c r="B51" s="173">
        <v>27</v>
      </c>
      <c r="C51" s="1" t="str">
        <f t="shared" si="3"/>
        <v>TAK</v>
      </c>
      <c r="D51" s="19">
        <f t="shared" si="10"/>
        <v>36</v>
      </c>
      <c r="E51" s="16" t="s">
        <v>6</v>
      </c>
      <c r="F51" s="16" t="s">
        <v>5</v>
      </c>
      <c r="G51" s="17">
        <v>6050</v>
      </c>
      <c r="H51" s="31" t="s">
        <v>62</v>
      </c>
      <c r="I51" s="11">
        <f>75000+56000</f>
        <v>131000</v>
      </c>
      <c r="J51" s="10"/>
      <c r="K51" s="74"/>
      <c r="L51" s="136"/>
      <c r="R51" s="98"/>
      <c r="S51" s="98"/>
      <c r="T51" s="9"/>
      <c r="U51" s="97"/>
      <c r="V51" s="98"/>
    </row>
    <row r="52" spans="1:22">
      <c r="A52" s="45" t="str">
        <f t="shared" si="2"/>
        <v>0</v>
      </c>
      <c r="B52" s="173">
        <v>84</v>
      </c>
      <c r="C52" s="1" t="str">
        <f t="shared" si="3"/>
        <v>TAK</v>
      </c>
      <c r="D52" s="19">
        <f>D51+1</f>
        <v>37</v>
      </c>
      <c r="E52" s="16" t="s">
        <v>6</v>
      </c>
      <c r="F52" s="16" t="s">
        <v>5</v>
      </c>
      <c r="G52" s="17">
        <v>6050</v>
      </c>
      <c r="H52" s="31" t="s">
        <v>178</v>
      </c>
      <c r="I52" s="11">
        <f>60000-32000</f>
        <v>28000</v>
      </c>
      <c r="J52" s="10"/>
      <c r="K52" s="74"/>
      <c r="L52" s="136"/>
      <c r="M52" s="98"/>
      <c r="P52" s="98"/>
      <c r="R52" s="98"/>
      <c r="S52" s="98"/>
      <c r="T52" s="9"/>
      <c r="U52" s="97"/>
      <c r="V52" s="98"/>
    </row>
    <row r="53" spans="1:22" ht="51">
      <c r="A53" s="45" t="str">
        <f t="shared" si="2"/>
        <v>0</v>
      </c>
      <c r="B53" s="173">
        <v>28</v>
      </c>
      <c r="C53" s="1" t="str">
        <f t="shared" si="3"/>
        <v>TAK</v>
      </c>
      <c r="D53" s="19">
        <f>D52+1</f>
        <v>38</v>
      </c>
      <c r="E53" s="16" t="s">
        <v>6</v>
      </c>
      <c r="F53" s="16" t="s">
        <v>5</v>
      </c>
      <c r="G53" s="17">
        <v>6050</v>
      </c>
      <c r="H53" s="47" t="s">
        <v>118</v>
      </c>
      <c r="I53" s="11">
        <f>1000000-850000+120000</f>
        <v>270000</v>
      </c>
      <c r="J53" s="10"/>
      <c r="K53" s="74"/>
      <c r="L53" s="136"/>
      <c r="R53" s="98"/>
      <c r="S53" s="98"/>
      <c r="T53" s="9"/>
      <c r="U53" s="97"/>
      <c r="V53" s="98"/>
    </row>
    <row r="54" spans="1:22" ht="48">
      <c r="A54" s="45" t="str">
        <f t="shared" si="2"/>
        <v>0</v>
      </c>
      <c r="B54" s="173">
        <v>64</v>
      </c>
      <c r="C54" s="1" t="str">
        <f t="shared" si="3"/>
        <v>TAK</v>
      </c>
      <c r="D54" s="19">
        <f>D53+1</f>
        <v>39</v>
      </c>
      <c r="E54" s="16" t="s">
        <v>6</v>
      </c>
      <c r="F54" s="16" t="s">
        <v>5</v>
      </c>
      <c r="G54" s="17">
        <v>6050</v>
      </c>
      <c r="H54" s="31" t="s">
        <v>146</v>
      </c>
      <c r="I54" s="11">
        <v>48000</v>
      </c>
      <c r="J54" s="10"/>
      <c r="K54" s="74"/>
      <c r="L54" s="136"/>
      <c r="M54" s="98"/>
      <c r="P54" s="98"/>
      <c r="R54" s="98"/>
      <c r="S54" s="98"/>
      <c r="T54" s="9"/>
      <c r="U54" s="97"/>
      <c r="V54" s="98"/>
    </row>
    <row r="55" spans="1:22" ht="24">
      <c r="A55" s="45" t="str">
        <f t="shared" si="2"/>
        <v>0</v>
      </c>
      <c r="B55" s="173">
        <v>29</v>
      </c>
      <c r="C55" s="1" t="str">
        <f t="shared" si="3"/>
        <v>TAK</v>
      </c>
      <c r="D55" s="19">
        <f t="shared" ref="D55" si="11">D53+1</f>
        <v>39</v>
      </c>
      <c r="E55" s="16" t="s">
        <v>6</v>
      </c>
      <c r="F55" s="16" t="s">
        <v>5</v>
      </c>
      <c r="G55" s="17">
        <v>6050</v>
      </c>
      <c r="H55" s="31" t="s">
        <v>58</v>
      </c>
      <c r="I55" s="11">
        <f>4822000-1500000-2500000</f>
        <v>822000</v>
      </c>
      <c r="J55" s="10"/>
      <c r="K55" s="74"/>
      <c r="L55" s="136"/>
      <c r="R55" s="98"/>
      <c r="S55" s="98"/>
      <c r="T55" s="9"/>
      <c r="U55" s="97"/>
      <c r="V55" s="98"/>
    </row>
    <row r="56" spans="1:22" ht="24">
      <c r="A56" s="45" t="str">
        <f t="shared" si="2"/>
        <v>0</v>
      </c>
      <c r="B56" s="173">
        <v>30</v>
      </c>
      <c r="C56" s="1" t="str">
        <f t="shared" si="3"/>
        <v>TAK</v>
      </c>
      <c r="D56" s="19">
        <f t="shared" si="10"/>
        <v>40</v>
      </c>
      <c r="E56" s="16" t="s">
        <v>6</v>
      </c>
      <c r="F56" s="16" t="s">
        <v>5</v>
      </c>
      <c r="G56" s="17">
        <v>6050</v>
      </c>
      <c r="H56" s="31" t="s">
        <v>59</v>
      </c>
      <c r="I56" s="11">
        <f>150000+100000</f>
        <v>250000</v>
      </c>
      <c r="J56" s="10"/>
      <c r="K56" s="74"/>
      <c r="L56" s="136"/>
      <c r="R56" s="98"/>
      <c r="S56" s="98"/>
      <c r="T56" s="9"/>
      <c r="U56" s="99"/>
      <c r="V56" s="98"/>
    </row>
    <row r="57" spans="1:22" ht="24.75" thickBot="1">
      <c r="A57" s="45" t="str">
        <f t="shared" si="2"/>
        <v>0</v>
      </c>
      <c r="B57" s="173">
        <v>31</v>
      </c>
      <c r="C57" s="1" t="str">
        <f t="shared" si="3"/>
        <v>TAK</v>
      </c>
      <c r="D57" s="91">
        <f t="shared" si="10"/>
        <v>41</v>
      </c>
      <c r="E57" s="92" t="s">
        <v>6</v>
      </c>
      <c r="F57" s="92" t="s">
        <v>5</v>
      </c>
      <c r="G57" s="95">
        <v>6050</v>
      </c>
      <c r="H57" s="101" t="s">
        <v>60</v>
      </c>
      <c r="I57" s="186">
        <v>520000</v>
      </c>
      <c r="J57" s="93"/>
      <c r="K57" s="108"/>
      <c r="L57" s="150"/>
      <c r="R57" s="98"/>
      <c r="S57" s="98"/>
      <c r="T57" s="9"/>
      <c r="U57" s="97"/>
      <c r="V57" s="98"/>
    </row>
    <row r="58" spans="1:22" ht="13.5" hidden="1" thickBot="1">
      <c r="A58" s="45" t="str">
        <f t="shared" si="2"/>
        <v/>
      </c>
      <c r="B58" s="173"/>
      <c r="C58" s="1" t="str">
        <f t="shared" si="3"/>
        <v>NIE</v>
      </c>
      <c r="D58" s="48"/>
      <c r="E58" s="50"/>
      <c r="F58" s="50"/>
      <c r="G58" s="196"/>
      <c r="H58" s="201"/>
      <c r="I58" s="202"/>
      <c r="J58" s="51"/>
      <c r="K58" s="110"/>
      <c r="L58" s="151"/>
      <c r="M58" s="98"/>
      <c r="P58" s="98"/>
      <c r="R58" s="98"/>
      <c r="S58" s="98"/>
      <c r="T58" s="9"/>
      <c r="U58" s="97"/>
      <c r="V58" s="98"/>
    </row>
    <row r="59" spans="1:22">
      <c r="A59" s="45" t="str">
        <f t="shared" si="2"/>
        <v>0</v>
      </c>
      <c r="B59" s="173">
        <v>32</v>
      </c>
      <c r="C59" s="1" t="str">
        <f t="shared" si="3"/>
        <v>TAK</v>
      </c>
      <c r="D59" s="84">
        <f>D57+1</f>
        <v>42</v>
      </c>
      <c r="E59" s="85" t="s">
        <v>6</v>
      </c>
      <c r="F59" s="85" t="s">
        <v>5</v>
      </c>
      <c r="G59" s="128">
        <v>6050</v>
      </c>
      <c r="H59" s="206" t="s">
        <v>67</v>
      </c>
      <c r="I59" s="210">
        <v>1210000</v>
      </c>
      <c r="J59" s="87"/>
      <c r="K59" s="109"/>
      <c r="L59" s="149"/>
      <c r="R59" s="98"/>
      <c r="S59" s="98"/>
      <c r="T59" s="9"/>
      <c r="U59" s="97"/>
      <c r="V59" s="98"/>
    </row>
    <row r="60" spans="1:22" ht="36">
      <c r="A60" s="45" t="str">
        <f t="shared" si="2"/>
        <v>0</v>
      </c>
      <c r="B60" s="173">
        <v>60</v>
      </c>
      <c r="C60" s="1" t="str">
        <f t="shared" si="3"/>
        <v>TAK</v>
      </c>
      <c r="D60" s="19">
        <f t="shared" ref="D60:D65" si="12">D59+1</f>
        <v>43</v>
      </c>
      <c r="E60" s="16" t="s">
        <v>6</v>
      </c>
      <c r="F60" s="16" t="s">
        <v>5</v>
      </c>
      <c r="G60" s="17">
        <v>6050</v>
      </c>
      <c r="H60" s="30" t="s">
        <v>143</v>
      </c>
      <c r="I60" s="24">
        <v>100000</v>
      </c>
      <c r="J60" s="10"/>
      <c r="K60" s="74"/>
      <c r="L60" s="136"/>
      <c r="M60" s="98"/>
      <c r="P60" s="98"/>
      <c r="R60" s="98"/>
      <c r="S60" s="98"/>
      <c r="T60" s="9"/>
      <c r="U60" s="97"/>
      <c r="V60" s="98"/>
    </row>
    <row r="61" spans="1:22" ht="38.25">
      <c r="A61" s="45" t="str">
        <f t="shared" si="2"/>
        <v>0</v>
      </c>
      <c r="B61" s="173">
        <v>65</v>
      </c>
      <c r="C61" s="1" t="str">
        <f t="shared" si="3"/>
        <v>TAK</v>
      </c>
      <c r="D61" s="19">
        <f t="shared" si="12"/>
        <v>44</v>
      </c>
      <c r="E61" s="16" t="s">
        <v>6</v>
      </c>
      <c r="F61" s="16" t="s">
        <v>5</v>
      </c>
      <c r="G61" s="17">
        <v>6060</v>
      </c>
      <c r="H61" s="47" t="s">
        <v>150</v>
      </c>
      <c r="I61" s="24">
        <v>44000</v>
      </c>
      <c r="J61" s="10"/>
      <c r="K61" s="74"/>
      <c r="L61" s="136"/>
      <c r="M61" s="98"/>
      <c r="P61" s="98"/>
      <c r="R61" s="98"/>
      <c r="S61" s="98"/>
      <c r="T61" s="9"/>
      <c r="U61" s="97"/>
      <c r="V61" s="98"/>
    </row>
    <row r="62" spans="1:22" ht="72">
      <c r="A62" s="45" t="str">
        <f t="shared" si="2"/>
        <v>0</v>
      </c>
      <c r="B62" s="173">
        <v>33</v>
      </c>
      <c r="C62" s="1" t="str">
        <f t="shared" si="3"/>
        <v>TAK</v>
      </c>
      <c r="D62" s="19">
        <f t="shared" si="12"/>
        <v>45</v>
      </c>
      <c r="E62" s="16" t="s">
        <v>6</v>
      </c>
      <c r="F62" s="16" t="s">
        <v>5</v>
      </c>
      <c r="G62" s="17">
        <v>6060</v>
      </c>
      <c r="H62" s="30" t="s">
        <v>161</v>
      </c>
      <c r="I62" s="24">
        <v>19961</v>
      </c>
      <c r="J62" s="10"/>
      <c r="K62" s="74"/>
      <c r="L62" s="136"/>
      <c r="M62" s="98"/>
      <c r="P62" s="98"/>
      <c r="R62" s="98"/>
      <c r="S62" s="98"/>
      <c r="T62" s="9"/>
      <c r="U62" s="97"/>
      <c r="V62" s="98"/>
    </row>
    <row r="63" spans="1:22" ht="24">
      <c r="A63" s="45" t="str">
        <f t="shared" si="2"/>
        <v>0</v>
      </c>
      <c r="B63" s="173">
        <v>85</v>
      </c>
      <c r="C63" s="1" t="str">
        <f t="shared" si="3"/>
        <v>TAK</v>
      </c>
      <c r="D63" s="19">
        <f t="shared" si="12"/>
        <v>46</v>
      </c>
      <c r="E63" s="16" t="s">
        <v>6</v>
      </c>
      <c r="F63" s="16" t="s">
        <v>5</v>
      </c>
      <c r="G63" s="17">
        <v>6060</v>
      </c>
      <c r="H63" s="30" t="s">
        <v>175</v>
      </c>
      <c r="I63" s="24">
        <v>50000</v>
      </c>
      <c r="J63" s="10"/>
      <c r="K63" s="74"/>
      <c r="L63" s="136"/>
      <c r="M63" s="98"/>
      <c r="P63" s="98"/>
      <c r="R63" s="98"/>
      <c r="S63" s="98"/>
      <c r="T63" s="9"/>
      <c r="U63" s="97"/>
      <c r="V63" s="98"/>
    </row>
    <row r="64" spans="1:22" ht="36">
      <c r="A64" s="45" t="str">
        <f t="shared" si="2"/>
        <v>0</v>
      </c>
      <c r="B64" s="173">
        <v>92</v>
      </c>
      <c r="C64" s="1" t="str">
        <f t="shared" si="3"/>
        <v>TAK</v>
      </c>
      <c r="D64" s="19">
        <f t="shared" si="12"/>
        <v>47</v>
      </c>
      <c r="E64" s="16" t="s">
        <v>6</v>
      </c>
      <c r="F64" s="16" t="s">
        <v>5</v>
      </c>
      <c r="G64" s="17">
        <v>6060</v>
      </c>
      <c r="H64" s="30" t="s">
        <v>190</v>
      </c>
      <c r="I64" s="24">
        <v>52000</v>
      </c>
      <c r="J64" s="10"/>
      <c r="K64" s="74"/>
      <c r="L64" s="136"/>
      <c r="R64" s="98"/>
      <c r="S64" s="98"/>
      <c r="T64" s="9"/>
      <c r="U64" s="97"/>
      <c r="V64" s="98"/>
    </row>
    <row r="65" spans="1:22" ht="24.75" thickBot="1">
      <c r="A65" s="45" t="str">
        <f t="shared" si="2"/>
        <v>0</v>
      </c>
      <c r="B65" s="173">
        <v>93</v>
      </c>
      <c r="C65" s="1" t="str">
        <f t="shared" si="3"/>
        <v>TAK</v>
      </c>
      <c r="D65" s="91">
        <f t="shared" si="12"/>
        <v>48</v>
      </c>
      <c r="E65" s="92" t="s">
        <v>6</v>
      </c>
      <c r="F65" s="92" t="s">
        <v>5</v>
      </c>
      <c r="G65" s="95">
        <v>6060</v>
      </c>
      <c r="H65" s="101" t="s">
        <v>191</v>
      </c>
      <c r="I65" s="93">
        <v>6200</v>
      </c>
      <c r="J65" s="93"/>
      <c r="K65" s="108"/>
      <c r="L65" s="150"/>
      <c r="P65" s="98"/>
      <c r="R65" s="98"/>
      <c r="S65" s="98"/>
      <c r="T65" s="9"/>
      <c r="U65" s="97"/>
      <c r="V65" s="98"/>
    </row>
    <row r="66" spans="1:22" ht="13.5" thickBot="1">
      <c r="A66" s="45" t="str">
        <f t="shared" si="2"/>
        <v>X</v>
      </c>
      <c r="B66" s="173" t="s">
        <v>0</v>
      </c>
      <c r="C66" s="1" t="str">
        <f t="shared" si="3"/>
        <v>TAK</v>
      </c>
      <c r="D66" s="62" t="s">
        <v>8</v>
      </c>
      <c r="E66" s="203" t="s">
        <v>6</v>
      </c>
      <c r="F66" s="203" t="s">
        <v>8</v>
      </c>
      <c r="G66" s="203" t="s">
        <v>8</v>
      </c>
      <c r="H66" s="204" t="s">
        <v>10</v>
      </c>
      <c r="I66" s="63">
        <f>SUM(I23:I65)</f>
        <v>16096311</v>
      </c>
      <c r="J66" s="63">
        <f>SUM(J23:J65)</f>
        <v>102073.99</v>
      </c>
      <c r="K66" s="205"/>
      <c r="L66" s="102">
        <f>SUM(L23:L65)</f>
        <v>-462000</v>
      </c>
      <c r="R66" s="98"/>
      <c r="S66" s="98"/>
      <c r="T66" s="9"/>
      <c r="U66" s="97"/>
      <c r="V66" s="98"/>
    </row>
    <row r="67" spans="1:22" ht="13.5" thickBot="1">
      <c r="A67" s="45" t="str">
        <f t="shared" si="2"/>
        <v>0</v>
      </c>
      <c r="B67" s="173">
        <v>34</v>
      </c>
      <c r="C67" s="1" t="str">
        <f t="shared" si="3"/>
        <v>TAK</v>
      </c>
      <c r="D67" s="84">
        <f>D65+1</f>
        <v>49</v>
      </c>
      <c r="E67" s="85" t="s">
        <v>55</v>
      </c>
      <c r="F67" s="85" t="s">
        <v>56</v>
      </c>
      <c r="G67" s="85" t="s">
        <v>16</v>
      </c>
      <c r="H67" s="86" t="s">
        <v>57</v>
      </c>
      <c r="I67" s="87">
        <v>750000</v>
      </c>
      <c r="J67" s="87"/>
      <c r="K67" s="153"/>
      <c r="L67" s="151"/>
      <c r="R67" s="98"/>
      <c r="S67" s="98"/>
      <c r="T67" s="9"/>
      <c r="U67" s="97"/>
      <c r="V67" s="98"/>
    </row>
    <row r="68" spans="1:22" ht="13.5" hidden="1" thickBot="1">
      <c r="A68" s="45" t="str">
        <f t="shared" si="2"/>
        <v/>
      </c>
      <c r="B68" s="173"/>
      <c r="C68" s="1" t="str">
        <f t="shared" si="3"/>
        <v>NIE</v>
      </c>
      <c r="D68" s="91"/>
      <c r="E68" s="92"/>
      <c r="F68" s="92"/>
      <c r="G68" s="92"/>
      <c r="H68" s="154"/>
      <c r="I68" s="93"/>
      <c r="J68" s="93"/>
      <c r="K68" s="155"/>
      <c r="L68" s="150"/>
      <c r="M68" s="98"/>
      <c r="P68" s="98"/>
      <c r="R68" s="98"/>
      <c r="S68" s="98"/>
      <c r="T68" s="9"/>
      <c r="U68" s="97"/>
      <c r="V68" s="98"/>
    </row>
    <row r="69" spans="1:22" ht="13.5" thickBot="1">
      <c r="A69" s="45" t="str">
        <f t="shared" si="2"/>
        <v>X</v>
      </c>
      <c r="B69" s="173" t="s">
        <v>0</v>
      </c>
      <c r="C69" s="1" t="str">
        <f t="shared" si="3"/>
        <v>TAK</v>
      </c>
      <c r="D69" s="141" t="s">
        <v>8</v>
      </c>
      <c r="E69" s="145" t="s">
        <v>55</v>
      </c>
      <c r="F69" s="145" t="s">
        <v>8</v>
      </c>
      <c r="G69" s="145" t="s">
        <v>8</v>
      </c>
      <c r="H69" s="146" t="s">
        <v>63</v>
      </c>
      <c r="I69" s="142">
        <f>I67+I68</f>
        <v>750000</v>
      </c>
      <c r="J69" s="142">
        <f>J67+J68</f>
        <v>0</v>
      </c>
      <c r="K69" s="152">
        <f>K67+K68</f>
        <v>0</v>
      </c>
      <c r="L69" s="78">
        <f>L67+L68</f>
        <v>0</v>
      </c>
      <c r="R69" s="98"/>
      <c r="S69" s="98"/>
      <c r="T69" s="9"/>
      <c r="U69" s="97"/>
      <c r="V69" s="98"/>
    </row>
    <row r="70" spans="1:22" ht="24">
      <c r="A70" s="45" t="str">
        <f t="shared" si="2"/>
        <v>0</v>
      </c>
      <c r="B70" s="173">
        <v>59</v>
      </c>
      <c r="C70" s="1" t="str">
        <f t="shared" si="3"/>
        <v>TAK</v>
      </c>
      <c r="D70" s="84">
        <f>D67+1</f>
        <v>50</v>
      </c>
      <c r="E70" s="85" t="s">
        <v>71</v>
      </c>
      <c r="F70" s="85" t="s">
        <v>139</v>
      </c>
      <c r="G70" s="85" t="s">
        <v>140</v>
      </c>
      <c r="H70" s="104" t="s">
        <v>141</v>
      </c>
      <c r="I70" s="87">
        <v>22000</v>
      </c>
      <c r="J70" s="87"/>
      <c r="K70" s="132"/>
      <c r="L70" s="149"/>
      <c r="M70" s="98"/>
      <c r="P70" s="98"/>
      <c r="R70" s="98"/>
      <c r="S70" s="98"/>
      <c r="T70" s="9"/>
      <c r="U70" s="97"/>
      <c r="V70" s="98"/>
    </row>
    <row r="71" spans="1:22">
      <c r="A71" s="45" t="str">
        <f t="shared" si="2"/>
        <v>7</v>
      </c>
      <c r="B71" s="173">
        <v>35</v>
      </c>
      <c r="C71" s="1" t="str">
        <f t="shared" si="3"/>
        <v>TAK</v>
      </c>
      <c r="D71" s="19">
        <f>D70+1</f>
        <v>51</v>
      </c>
      <c r="E71" s="16" t="s">
        <v>71</v>
      </c>
      <c r="F71" s="16" t="s">
        <v>72</v>
      </c>
      <c r="G71" s="16" t="s">
        <v>65</v>
      </c>
      <c r="H71" s="94" t="s">
        <v>73</v>
      </c>
      <c r="I71" s="10">
        <v>608000</v>
      </c>
      <c r="J71" s="10"/>
      <c r="K71" s="147"/>
      <c r="L71" s="136"/>
      <c r="R71" s="98"/>
      <c r="S71" s="98"/>
      <c r="T71" s="9"/>
      <c r="U71" s="97"/>
      <c r="V71" s="97"/>
    </row>
    <row r="72" spans="1:22" ht="13.5" thickBot="1">
      <c r="A72" s="45" t="str">
        <f t="shared" si="2"/>
        <v>9</v>
      </c>
      <c r="B72" s="173">
        <v>36</v>
      </c>
      <c r="C72" s="1" t="str">
        <f t="shared" si="3"/>
        <v>TAK</v>
      </c>
      <c r="D72" s="91">
        <f>D71+1</f>
        <v>52</v>
      </c>
      <c r="E72" s="92" t="s">
        <v>71</v>
      </c>
      <c r="F72" s="92" t="s">
        <v>72</v>
      </c>
      <c r="G72" s="92" t="s">
        <v>74</v>
      </c>
      <c r="H72" s="103" t="s">
        <v>73</v>
      </c>
      <c r="I72" s="93">
        <f>910000-I71</f>
        <v>302000</v>
      </c>
      <c r="J72" s="93"/>
      <c r="K72" s="133"/>
      <c r="L72" s="150"/>
      <c r="R72" s="98"/>
      <c r="S72" s="98"/>
      <c r="T72" s="9"/>
      <c r="U72" s="97"/>
      <c r="V72" s="98"/>
    </row>
    <row r="73" spans="1:22" ht="13.5" thickBot="1">
      <c r="A73" s="45" t="str">
        <f t="shared" si="2"/>
        <v>X</v>
      </c>
      <c r="B73" s="173" t="s">
        <v>0</v>
      </c>
      <c r="C73" s="1" t="str">
        <f t="shared" si="3"/>
        <v>TAK</v>
      </c>
      <c r="D73" s="22" t="s">
        <v>8</v>
      </c>
      <c r="E73" s="18" t="s">
        <v>71</v>
      </c>
      <c r="F73" s="18" t="s">
        <v>8</v>
      </c>
      <c r="G73" s="18" t="s">
        <v>8</v>
      </c>
      <c r="H73" s="105" t="s">
        <v>75</v>
      </c>
      <c r="I73" s="12">
        <f>I71+I72+I70</f>
        <v>932000</v>
      </c>
      <c r="J73" s="12">
        <f>J71+J72+J70</f>
        <v>0</v>
      </c>
      <c r="K73" s="134">
        <f>K71+K72+K70</f>
        <v>0</v>
      </c>
      <c r="L73" s="102">
        <f>L71+L72+L70</f>
        <v>0</v>
      </c>
      <c r="R73" s="98"/>
      <c r="S73" s="98"/>
      <c r="T73" s="9"/>
      <c r="U73" s="97"/>
      <c r="V73" s="98"/>
    </row>
    <row r="74" spans="1:22" hidden="1">
      <c r="A74" s="45" t="str">
        <f t="shared" si="2"/>
        <v/>
      </c>
      <c r="B74" s="173"/>
      <c r="C74" s="1" t="str">
        <f>IF(I74&gt;0,"TAK",IF(L74&lt;0,"TAK","NIE"))</f>
        <v>NIE</v>
      </c>
      <c r="D74" s="84"/>
      <c r="E74" s="176"/>
      <c r="F74" s="176"/>
      <c r="G74" s="176"/>
      <c r="H74" s="177"/>
      <c r="I74" s="87"/>
      <c r="J74" s="87"/>
      <c r="K74" s="132"/>
      <c r="L74" s="135"/>
      <c r="P74" s="98"/>
      <c r="R74" s="98"/>
      <c r="S74" s="98"/>
      <c r="T74" s="9"/>
      <c r="U74" s="97"/>
      <c r="V74" s="98"/>
    </row>
    <row r="75" spans="1:22" ht="25.5">
      <c r="A75" s="45" t="str">
        <f t="shared" si="2"/>
        <v>0</v>
      </c>
      <c r="B75" s="173">
        <v>68</v>
      </c>
      <c r="C75" s="1" t="str">
        <f t="shared" si="3"/>
        <v>TAK</v>
      </c>
      <c r="D75" s="23">
        <f>D72+1</f>
        <v>53</v>
      </c>
      <c r="E75" s="16" t="s">
        <v>18</v>
      </c>
      <c r="F75" s="16" t="s">
        <v>85</v>
      </c>
      <c r="G75" s="16" t="s">
        <v>86</v>
      </c>
      <c r="H75" s="178" t="s">
        <v>155</v>
      </c>
      <c r="I75" s="35">
        <v>50000</v>
      </c>
      <c r="J75" s="35"/>
      <c r="K75" s="175"/>
      <c r="L75" s="135"/>
      <c r="P75" s="98"/>
      <c r="R75" s="98"/>
      <c r="S75" s="98"/>
      <c r="T75" s="9"/>
      <c r="U75" s="97"/>
      <c r="V75" s="98"/>
    </row>
    <row r="76" spans="1:22" ht="24">
      <c r="A76" s="45" t="str">
        <f t="shared" si="2"/>
        <v>0</v>
      </c>
      <c r="B76" s="173">
        <v>69</v>
      </c>
      <c r="C76" s="1" t="str">
        <f t="shared" si="3"/>
        <v>TAK</v>
      </c>
      <c r="D76" s="23">
        <f>D75+1</f>
        <v>54</v>
      </c>
      <c r="E76" s="40">
        <v>754</v>
      </c>
      <c r="F76" s="40">
        <v>75411</v>
      </c>
      <c r="G76" s="40">
        <v>6170</v>
      </c>
      <c r="H76" s="179" t="s">
        <v>156</v>
      </c>
      <c r="I76" s="35">
        <f>20000+10000</f>
        <v>30000</v>
      </c>
      <c r="J76" s="35"/>
      <c r="K76" s="175"/>
      <c r="L76" s="135"/>
      <c r="P76" s="98"/>
      <c r="R76" s="98"/>
      <c r="S76" s="98"/>
      <c r="T76" s="9"/>
      <c r="U76" s="97"/>
      <c r="V76" s="98"/>
    </row>
    <row r="77" spans="1:22" hidden="1">
      <c r="A77" s="45" t="str">
        <f t="shared" si="2"/>
        <v/>
      </c>
      <c r="B77" s="173"/>
      <c r="C77" s="1" t="str">
        <f t="shared" si="3"/>
        <v>NIE</v>
      </c>
      <c r="D77" s="23"/>
      <c r="E77" s="16"/>
      <c r="F77" s="16"/>
      <c r="G77" s="16"/>
      <c r="H77" s="94"/>
      <c r="I77" s="10"/>
      <c r="J77" s="10"/>
      <c r="K77" s="147"/>
      <c r="L77" s="135"/>
      <c r="M77" s="98"/>
      <c r="P77" s="98"/>
      <c r="R77" s="98"/>
      <c r="S77" s="98"/>
      <c r="T77" s="9"/>
      <c r="U77" s="97"/>
      <c r="V77" s="98"/>
    </row>
    <row r="78" spans="1:22" ht="24.75" customHeight="1">
      <c r="A78" s="45" t="str">
        <f t="shared" si="2"/>
        <v>0</v>
      </c>
      <c r="B78" s="173">
        <v>66</v>
      </c>
      <c r="C78" s="1" t="str">
        <f t="shared" si="3"/>
        <v>TAK</v>
      </c>
      <c r="D78" s="19">
        <f>D76+1</f>
        <v>55</v>
      </c>
      <c r="E78" s="16" t="s">
        <v>18</v>
      </c>
      <c r="F78" s="16" t="s">
        <v>136</v>
      </c>
      <c r="G78" s="16" t="s">
        <v>140</v>
      </c>
      <c r="H78" s="94" t="s">
        <v>149</v>
      </c>
      <c r="I78" s="10">
        <v>25000</v>
      </c>
      <c r="J78" s="10"/>
      <c r="K78" s="74"/>
      <c r="L78" s="136"/>
      <c r="M78" s="98"/>
      <c r="P78" s="98"/>
      <c r="R78" s="98"/>
      <c r="S78" s="98"/>
      <c r="T78" s="9"/>
      <c r="U78" s="97"/>
      <c r="V78" s="98"/>
    </row>
    <row r="79" spans="1:22" ht="25.5" customHeight="1">
      <c r="A79" s="45" t="str">
        <f t="shared" si="2"/>
        <v>0</v>
      </c>
      <c r="B79" s="173">
        <v>86</v>
      </c>
      <c r="C79" s="1" t="str">
        <f t="shared" si="3"/>
        <v>TAK</v>
      </c>
      <c r="D79" s="19">
        <f>D78+1</f>
        <v>56</v>
      </c>
      <c r="E79" s="16" t="s">
        <v>18</v>
      </c>
      <c r="F79" s="16" t="s">
        <v>136</v>
      </c>
      <c r="G79" s="16" t="s">
        <v>176</v>
      </c>
      <c r="H79" s="94" t="s">
        <v>177</v>
      </c>
      <c r="I79" s="10">
        <f>280000+100000</f>
        <v>380000</v>
      </c>
      <c r="J79" s="10"/>
      <c r="K79" s="74"/>
      <c r="L79" s="136"/>
      <c r="M79" s="98"/>
      <c r="P79" s="98"/>
      <c r="R79" s="98"/>
      <c r="S79" s="98"/>
      <c r="T79" s="9"/>
      <c r="U79" s="97"/>
      <c r="V79" s="98"/>
    </row>
    <row r="80" spans="1:22" ht="24.75" hidden="1" customHeight="1">
      <c r="A80" s="45" t="str">
        <f t="shared" si="2"/>
        <v/>
      </c>
      <c r="B80" s="173"/>
      <c r="C80" s="1" t="str">
        <f t="shared" si="3"/>
        <v>NIE</v>
      </c>
      <c r="D80" s="19"/>
      <c r="E80" s="16"/>
      <c r="F80" s="16"/>
      <c r="G80" s="16"/>
      <c r="H80" s="94"/>
      <c r="I80" s="10"/>
      <c r="J80" s="10"/>
      <c r="K80" s="74"/>
      <c r="L80" s="140"/>
      <c r="M80" s="98"/>
      <c r="P80" s="98"/>
      <c r="R80" s="98"/>
      <c r="S80" s="98"/>
      <c r="T80" s="9"/>
      <c r="U80" s="97"/>
      <c r="V80" s="98"/>
    </row>
    <row r="81" spans="1:22" ht="13.5" thickBot="1">
      <c r="A81" s="45" t="str">
        <f t="shared" si="2"/>
        <v>0</v>
      </c>
      <c r="B81" s="173">
        <v>38</v>
      </c>
      <c r="C81" s="1" t="str">
        <f t="shared" si="3"/>
        <v>TAK</v>
      </c>
      <c r="D81" s="91">
        <f>D79+1</f>
        <v>57</v>
      </c>
      <c r="E81" s="92" t="s">
        <v>18</v>
      </c>
      <c r="F81" s="92" t="s">
        <v>39</v>
      </c>
      <c r="G81" s="92" t="s">
        <v>16</v>
      </c>
      <c r="H81" s="148" t="s">
        <v>54</v>
      </c>
      <c r="I81" s="93">
        <f>87700+30000+16000</f>
        <v>133700</v>
      </c>
      <c r="J81" s="93">
        <v>16000</v>
      </c>
      <c r="K81" s="108" t="s">
        <v>104</v>
      </c>
      <c r="L81" s="140"/>
      <c r="R81" s="98"/>
      <c r="S81" s="98"/>
      <c r="T81" s="9"/>
      <c r="U81" s="97"/>
      <c r="V81" s="98"/>
    </row>
    <row r="82" spans="1:22" ht="24.75" thickBot="1">
      <c r="A82" s="45" t="str">
        <f t="shared" ref="A82:A153" si="13">RIGHT(G82,1)</f>
        <v>X</v>
      </c>
      <c r="B82" s="173" t="s">
        <v>0</v>
      </c>
      <c r="C82" s="1" t="str">
        <f t="shared" ref="C82:C134" si="14">IF(I82&gt;0,"TAK",IF(L82&lt;0,"TAK","NIE"))</f>
        <v>TAK</v>
      </c>
      <c r="D82" s="22" t="s">
        <v>8</v>
      </c>
      <c r="E82" s="18" t="s">
        <v>18</v>
      </c>
      <c r="F82" s="18" t="s">
        <v>8</v>
      </c>
      <c r="G82" s="18" t="s">
        <v>8</v>
      </c>
      <c r="H82" s="32" t="s">
        <v>38</v>
      </c>
      <c r="I82" s="12">
        <f>SUM(I74:I81)</f>
        <v>618700</v>
      </c>
      <c r="J82" s="12">
        <f t="shared" ref="J82:K82" si="15">SUM(J74:J81)</f>
        <v>16000</v>
      </c>
      <c r="K82" s="168">
        <f t="shared" si="15"/>
        <v>0</v>
      </c>
      <c r="L82" s="78">
        <f>SUM(L74:L81)</f>
        <v>0</v>
      </c>
      <c r="R82" s="98"/>
      <c r="S82" s="98"/>
      <c r="T82" s="9"/>
      <c r="U82" s="97"/>
      <c r="V82" s="98"/>
    </row>
    <row r="83" spans="1:22">
      <c r="A83" s="45" t="str">
        <f t="shared" si="13"/>
        <v>0</v>
      </c>
      <c r="B83" s="173">
        <v>39</v>
      </c>
      <c r="C83" s="1" t="str">
        <f t="shared" si="14"/>
        <v>TAK</v>
      </c>
      <c r="D83" s="23">
        <f>D81+1</f>
        <v>58</v>
      </c>
      <c r="E83" s="40" t="s">
        <v>7</v>
      </c>
      <c r="F83" s="40" t="s">
        <v>123</v>
      </c>
      <c r="G83" s="40" t="s">
        <v>16</v>
      </c>
      <c r="H83" s="68" t="s">
        <v>124</v>
      </c>
      <c r="I83" s="35">
        <v>150000</v>
      </c>
      <c r="J83" s="35"/>
      <c r="K83" s="77"/>
      <c r="L83" s="49"/>
      <c r="M83" s="98"/>
      <c r="R83" s="98"/>
      <c r="S83" s="98"/>
      <c r="T83" s="9"/>
      <c r="U83" s="97"/>
      <c r="V83" s="98"/>
    </row>
    <row r="84" spans="1:22" ht="24">
      <c r="A84" s="45" t="str">
        <f t="shared" si="13"/>
        <v>8</v>
      </c>
      <c r="B84" s="173">
        <v>61</v>
      </c>
      <c r="C84" s="1" t="str">
        <f t="shared" si="14"/>
        <v>TAK</v>
      </c>
      <c r="D84" s="19">
        <f>D83+1</f>
        <v>59</v>
      </c>
      <c r="E84" s="16" t="s">
        <v>7</v>
      </c>
      <c r="F84" s="16" t="s">
        <v>123</v>
      </c>
      <c r="G84" s="187" t="s">
        <v>137</v>
      </c>
      <c r="H84" s="30" t="s">
        <v>138</v>
      </c>
      <c r="I84" s="10">
        <f>400000-26000</f>
        <v>374000</v>
      </c>
      <c r="J84" s="10"/>
      <c r="K84" s="74"/>
      <c r="L84" s="46"/>
      <c r="M84" s="98"/>
      <c r="P84" s="98"/>
      <c r="R84" s="98"/>
      <c r="S84" s="98"/>
      <c r="T84" s="9"/>
      <c r="U84" s="97"/>
      <c r="V84" s="98"/>
    </row>
    <row r="85" spans="1:22" ht="24.75" thickBot="1">
      <c r="A85" s="45" t="str">
        <f t="shared" si="13"/>
        <v>9</v>
      </c>
      <c r="B85" s="173">
        <v>89</v>
      </c>
      <c r="C85" s="1" t="str">
        <f t="shared" si="14"/>
        <v>TAK</v>
      </c>
      <c r="D85" s="19">
        <f>D84+1</f>
        <v>60</v>
      </c>
      <c r="E85" s="16" t="s">
        <v>7</v>
      </c>
      <c r="F85" s="16" t="s">
        <v>123</v>
      </c>
      <c r="G85" s="187" t="s">
        <v>184</v>
      </c>
      <c r="H85" s="30" t="s">
        <v>138</v>
      </c>
      <c r="I85" s="10">
        <v>26000</v>
      </c>
      <c r="J85" s="10"/>
      <c r="K85" s="74"/>
      <c r="L85" s="46"/>
      <c r="M85" s="98"/>
      <c r="P85" s="98"/>
      <c r="R85" s="98"/>
      <c r="S85" s="98"/>
      <c r="T85" s="9"/>
      <c r="U85" s="97"/>
      <c r="V85" s="98"/>
    </row>
    <row r="86" spans="1:22" ht="13.5" hidden="1" thickBot="1">
      <c r="A86" s="45" t="str">
        <f t="shared" si="13"/>
        <v/>
      </c>
      <c r="B86" s="173"/>
      <c r="C86" s="1" t="str">
        <f t="shared" si="14"/>
        <v>NIE</v>
      </c>
      <c r="D86" s="58"/>
      <c r="E86" s="56"/>
      <c r="F86" s="56"/>
      <c r="G86" s="56"/>
      <c r="H86" s="57"/>
      <c r="I86" s="64"/>
      <c r="J86" s="64"/>
      <c r="K86" s="107"/>
      <c r="L86" s="65"/>
      <c r="M86" s="98"/>
      <c r="P86" s="98"/>
      <c r="R86" s="98"/>
      <c r="S86" s="98"/>
      <c r="T86" s="9"/>
      <c r="U86" s="97"/>
      <c r="V86" s="98"/>
    </row>
    <row r="87" spans="1:22" ht="13.5" hidden="1" thickBot="1">
      <c r="A87" s="45" t="str">
        <f t="shared" si="13"/>
        <v/>
      </c>
      <c r="B87" s="173"/>
      <c r="C87" s="1" t="str">
        <f t="shared" si="14"/>
        <v>NIE</v>
      </c>
      <c r="D87" s="91"/>
      <c r="E87" s="92"/>
      <c r="F87" s="92"/>
      <c r="G87" s="92"/>
      <c r="H87" s="101"/>
      <c r="I87" s="93"/>
      <c r="J87" s="93"/>
      <c r="K87" s="108"/>
      <c r="L87" s="100"/>
      <c r="M87" s="98"/>
      <c r="P87" s="98"/>
      <c r="R87" s="98"/>
      <c r="S87" s="98"/>
      <c r="T87" s="9"/>
      <c r="U87" s="97"/>
      <c r="V87" s="98"/>
    </row>
    <row r="88" spans="1:22" ht="13.5" thickBot="1">
      <c r="A88" s="45" t="str">
        <f t="shared" si="13"/>
        <v>x</v>
      </c>
      <c r="B88" s="173" t="s">
        <v>0</v>
      </c>
      <c r="C88" s="1" t="str">
        <f t="shared" si="14"/>
        <v>TAK</v>
      </c>
      <c r="D88" s="22" t="s">
        <v>8</v>
      </c>
      <c r="E88" s="18" t="s">
        <v>7</v>
      </c>
      <c r="F88" s="18" t="s">
        <v>2</v>
      </c>
      <c r="G88" s="18" t="s">
        <v>2</v>
      </c>
      <c r="H88" s="32" t="s">
        <v>11</v>
      </c>
      <c r="I88" s="12">
        <f>SUM(I83:I87)</f>
        <v>550000</v>
      </c>
      <c r="J88" s="12">
        <f>SUM(J83:J87)</f>
        <v>0</v>
      </c>
      <c r="K88" s="168">
        <f>SUM(K83:K87)</f>
        <v>0</v>
      </c>
      <c r="L88" s="78">
        <f>SUM(L83:L87)</f>
        <v>0</v>
      </c>
      <c r="M88" s="98"/>
      <c r="R88" s="98"/>
      <c r="S88" s="98"/>
      <c r="T88" s="9"/>
      <c r="U88" s="97"/>
      <c r="V88" s="98"/>
    </row>
    <row r="89" spans="1:22" ht="24.75" thickBot="1">
      <c r="A89" s="45" t="str">
        <f t="shared" si="13"/>
        <v>0</v>
      </c>
      <c r="B89" s="173">
        <v>40</v>
      </c>
      <c r="C89" s="1" t="str">
        <f t="shared" si="14"/>
        <v>TAK</v>
      </c>
      <c r="D89" s="84">
        <f>D85+1</f>
        <v>61</v>
      </c>
      <c r="E89" s="85" t="s">
        <v>32</v>
      </c>
      <c r="F89" s="85" t="s">
        <v>30</v>
      </c>
      <c r="G89" s="85" t="s">
        <v>31</v>
      </c>
      <c r="H89" s="86" t="s">
        <v>115</v>
      </c>
      <c r="I89" s="87">
        <f>450000-50000</f>
        <v>400000</v>
      </c>
      <c r="J89" s="87"/>
      <c r="K89" s="109"/>
      <c r="L89" s="49"/>
      <c r="P89" s="98"/>
      <c r="R89" s="98"/>
      <c r="S89" s="98"/>
      <c r="T89" s="9"/>
      <c r="U89" s="97"/>
      <c r="V89" s="98"/>
    </row>
    <row r="90" spans="1:22" ht="13.5" thickBot="1">
      <c r="A90" s="45" t="str">
        <f t="shared" si="13"/>
        <v>x</v>
      </c>
      <c r="B90" s="173" t="s">
        <v>0</v>
      </c>
      <c r="C90" s="1" t="str">
        <f t="shared" si="14"/>
        <v>TAK</v>
      </c>
      <c r="D90" s="22" t="s">
        <v>8</v>
      </c>
      <c r="E90" s="18" t="s">
        <v>32</v>
      </c>
      <c r="F90" s="18" t="s">
        <v>2</v>
      </c>
      <c r="G90" s="18" t="s">
        <v>2</v>
      </c>
      <c r="H90" s="32" t="s">
        <v>33</v>
      </c>
      <c r="I90" s="12">
        <f>SUM(I89:I89)</f>
        <v>400000</v>
      </c>
      <c r="J90" s="12">
        <f>SUM(J89:J89)</f>
        <v>0</v>
      </c>
      <c r="K90" s="134">
        <f>SUM(K89:K89)</f>
        <v>0</v>
      </c>
      <c r="L90" s="78">
        <f>SUM(L89:L89)</f>
        <v>0</v>
      </c>
      <c r="R90" s="98"/>
      <c r="S90" s="98"/>
      <c r="T90" s="9"/>
      <c r="U90" s="97"/>
      <c r="V90" s="98"/>
    </row>
    <row r="91" spans="1:22" hidden="1">
      <c r="A91" s="45" t="str">
        <f t="shared" si="13"/>
        <v/>
      </c>
      <c r="B91" s="173"/>
      <c r="C91" s="1" t="str">
        <f t="shared" si="14"/>
        <v>NIE</v>
      </c>
      <c r="D91" s="48"/>
      <c r="E91" s="50"/>
      <c r="F91" s="50"/>
      <c r="G91" s="50"/>
      <c r="H91" s="79"/>
      <c r="I91" s="51"/>
      <c r="J91" s="51"/>
      <c r="K91" s="110"/>
      <c r="L91" s="80"/>
      <c r="M91" s="98"/>
      <c r="P91" s="98"/>
      <c r="R91" s="98"/>
      <c r="S91" s="98"/>
      <c r="T91" s="9"/>
      <c r="U91" s="97"/>
      <c r="V91" s="98"/>
    </row>
    <row r="92" spans="1:22" ht="13.5" hidden="1" thickBot="1">
      <c r="A92" s="45" t="str">
        <f t="shared" si="13"/>
        <v>X</v>
      </c>
      <c r="B92" s="173"/>
      <c r="C92" s="1" t="str">
        <f t="shared" si="14"/>
        <v>NIE</v>
      </c>
      <c r="D92" s="122" t="s">
        <v>8</v>
      </c>
      <c r="E92" s="123" t="s">
        <v>64</v>
      </c>
      <c r="F92" s="123" t="s">
        <v>8</v>
      </c>
      <c r="G92" s="123" t="s">
        <v>8</v>
      </c>
      <c r="H92" s="124" t="s">
        <v>66</v>
      </c>
      <c r="I92" s="125">
        <f>I91</f>
        <v>0</v>
      </c>
      <c r="J92" s="125">
        <f>J91</f>
        <v>0</v>
      </c>
      <c r="K92" s="126"/>
      <c r="L92" s="78">
        <f>L91</f>
        <v>0</v>
      </c>
      <c r="M92" s="98"/>
      <c r="P92" s="98"/>
      <c r="R92" s="98"/>
      <c r="S92" s="98"/>
      <c r="T92" s="9"/>
      <c r="U92" s="97"/>
      <c r="V92" s="98"/>
    </row>
    <row r="93" spans="1:22" hidden="1">
      <c r="A93" s="45" t="str">
        <f t="shared" si="13"/>
        <v/>
      </c>
      <c r="B93" s="173"/>
      <c r="C93" s="1" t="str">
        <f t="shared" si="14"/>
        <v>NIE</v>
      </c>
      <c r="D93" s="84"/>
      <c r="E93" s="128"/>
      <c r="F93" s="128"/>
      <c r="G93" s="128"/>
      <c r="H93" s="131"/>
      <c r="I93" s="87"/>
      <c r="J93" s="87"/>
      <c r="K93" s="109"/>
      <c r="L93" s="135"/>
      <c r="M93" s="98"/>
      <c r="P93" s="98"/>
      <c r="R93" s="98"/>
      <c r="S93" s="98"/>
      <c r="T93" s="9"/>
      <c r="U93" s="97"/>
      <c r="V93" s="98"/>
    </row>
    <row r="94" spans="1:22" ht="24">
      <c r="A94" s="45" t="str">
        <f t="shared" si="13"/>
        <v>0</v>
      </c>
      <c r="B94" s="173">
        <v>41</v>
      </c>
      <c r="C94" s="1" t="str">
        <f t="shared" si="14"/>
        <v>TAK</v>
      </c>
      <c r="D94" s="19">
        <f>D89+1</f>
        <v>62</v>
      </c>
      <c r="E94" s="17">
        <v>900</v>
      </c>
      <c r="F94" s="17">
        <v>90001</v>
      </c>
      <c r="G94" s="17">
        <v>6030</v>
      </c>
      <c r="H94" s="31" t="s">
        <v>40</v>
      </c>
      <c r="I94" s="10">
        <f>1770000+1900000</f>
        <v>3670000</v>
      </c>
      <c r="J94" s="10"/>
      <c r="K94" s="74"/>
      <c r="L94" s="135"/>
      <c r="P94" s="98"/>
      <c r="R94" s="98"/>
      <c r="S94" s="98"/>
      <c r="T94" s="9"/>
      <c r="U94" s="97"/>
      <c r="V94" s="98"/>
    </row>
    <row r="95" spans="1:22">
      <c r="A95" s="45" t="str">
        <f t="shared" si="13"/>
        <v>0</v>
      </c>
      <c r="B95" s="173">
        <v>42</v>
      </c>
      <c r="C95" s="1" t="str">
        <f t="shared" si="14"/>
        <v>TAK</v>
      </c>
      <c r="D95" s="19">
        <f>D94+1</f>
        <v>63</v>
      </c>
      <c r="E95" s="17">
        <v>900</v>
      </c>
      <c r="F95" s="17">
        <v>90001</v>
      </c>
      <c r="G95" s="17">
        <v>6050</v>
      </c>
      <c r="H95" s="31" t="s">
        <v>53</v>
      </c>
      <c r="I95" s="10">
        <f>200000-150000</f>
        <v>50000</v>
      </c>
      <c r="J95" s="10"/>
      <c r="K95" s="74"/>
      <c r="L95" s="136"/>
      <c r="R95" s="98"/>
      <c r="S95" s="98"/>
      <c r="T95" s="9"/>
      <c r="U95" s="97"/>
      <c r="V95" s="98"/>
    </row>
    <row r="96" spans="1:22" ht="24">
      <c r="A96" s="45" t="str">
        <f t="shared" si="13"/>
        <v>0</v>
      </c>
      <c r="B96" s="173">
        <v>70</v>
      </c>
      <c r="C96" s="1" t="str">
        <f t="shared" si="14"/>
        <v>TAK</v>
      </c>
      <c r="D96" s="19">
        <f>D95+1</f>
        <v>64</v>
      </c>
      <c r="E96" s="17">
        <v>900</v>
      </c>
      <c r="F96" s="17">
        <v>90001</v>
      </c>
      <c r="G96" s="17">
        <v>6050</v>
      </c>
      <c r="H96" s="31" t="s">
        <v>157</v>
      </c>
      <c r="I96" s="10">
        <f>150000+120000</f>
        <v>270000</v>
      </c>
      <c r="J96" s="10"/>
      <c r="K96" s="74"/>
      <c r="L96" s="136"/>
      <c r="R96" s="98"/>
      <c r="S96" s="98"/>
      <c r="T96" s="9"/>
      <c r="U96" s="97"/>
      <c r="V96" s="98"/>
    </row>
    <row r="97" spans="1:23" ht="24">
      <c r="A97" s="45" t="str">
        <f t="shared" ref="A97:A98" si="16">RIGHT(G97,1)</f>
        <v>0</v>
      </c>
      <c r="B97" s="173">
        <v>71</v>
      </c>
      <c r="C97" s="1" t="str">
        <f t="shared" ref="C97:C98" si="17">IF(I97&gt;0,"TAK",IF(L97&lt;0,"TAK","NIE"))</f>
        <v>TAK</v>
      </c>
      <c r="D97" s="19">
        <f>D96+1</f>
        <v>65</v>
      </c>
      <c r="E97" s="17">
        <v>900</v>
      </c>
      <c r="F97" s="17">
        <v>90001</v>
      </c>
      <c r="G97" s="17">
        <v>6050</v>
      </c>
      <c r="H97" s="31" t="s">
        <v>188</v>
      </c>
      <c r="I97" s="10">
        <v>140000</v>
      </c>
      <c r="J97" s="10"/>
      <c r="K97" s="74"/>
      <c r="L97" s="136"/>
      <c r="R97" s="98"/>
      <c r="S97" s="98"/>
      <c r="T97" s="9"/>
      <c r="U97" s="97"/>
      <c r="V97" s="98"/>
    </row>
    <row r="98" spans="1:23" ht="24">
      <c r="A98" s="45" t="str">
        <f t="shared" si="16"/>
        <v>8</v>
      </c>
      <c r="B98" s="173">
        <v>43</v>
      </c>
      <c r="C98" s="1" t="str">
        <f t="shared" si="17"/>
        <v>TAK</v>
      </c>
      <c r="D98" s="19">
        <f>D97+1</f>
        <v>66</v>
      </c>
      <c r="E98" s="17">
        <v>900</v>
      </c>
      <c r="F98" s="17">
        <v>90004</v>
      </c>
      <c r="G98" s="69">
        <v>6058</v>
      </c>
      <c r="H98" s="31" t="s">
        <v>52</v>
      </c>
      <c r="I98" s="10">
        <f>0.85*5980000-37000-190000</f>
        <v>4856000</v>
      </c>
      <c r="J98" s="10"/>
      <c r="K98" s="74"/>
      <c r="L98" s="136"/>
      <c r="M98" s="98"/>
      <c r="N98" s="97"/>
      <c r="R98" s="98"/>
      <c r="S98" s="98"/>
      <c r="T98" s="9"/>
      <c r="U98" s="97"/>
      <c r="V98" s="97"/>
    </row>
    <row r="99" spans="1:23" ht="24">
      <c r="A99" s="45" t="str">
        <f t="shared" si="13"/>
        <v>9</v>
      </c>
      <c r="B99" s="173">
        <v>44</v>
      </c>
      <c r="C99" s="1" t="str">
        <f t="shared" si="14"/>
        <v>TAK</v>
      </c>
      <c r="D99" s="19">
        <f t="shared" ref="D99" si="18">D98+1</f>
        <v>67</v>
      </c>
      <c r="E99" s="17">
        <v>900</v>
      </c>
      <c r="F99" s="17">
        <v>90004</v>
      </c>
      <c r="G99" s="69">
        <v>6059</v>
      </c>
      <c r="H99" s="31" t="s">
        <v>52</v>
      </c>
      <c r="I99" s="216">
        <f>447500+39000-30000</f>
        <v>456500</v>
      </c>
      <c r="J99" s="10"/>
      <c r="K99" s="74"/>
      <c r="L99" s="136">
        <f>-449500+39000-30000</f>
        <v>-440500</v>
      </c>
      <c r="M99" s="97">
        <f>SUBTOTAL(9,I98:I99)</f>
        <v>5312500</v>
      </c>
      <c r="P99" s="45"/>
      <c r="Q99" s="1"/>
      <c r="R99" s="1"/>
      <c r="S99" s="1"/>
      <c r="T99" s="9"/>
      <c r="U99" s="8"/>
      <c r="V99" s="1"/>
      <c r="W99" s="1"/>
    </row>
    <row r="100" spans="1:23" ht="24" hidden="1">
      <c r="A100" s="45" t="str">
        <f t="shared" si="13"/>
        <v>0</v>
      </c>
      <c r="B100" s="173">
        <v>45</v>
      </c>
      <c r="C100" s="1" t="str">
        <f t="shared" si="14"/>
        <v>NIE</v>
      </c>
      <c r="D100" s="19"/>
      <c r="E100" s="17">
        <v>900</v>
      </c>
      <c r="F100" s="17">
        <v>90005</v>
      </c>
      <c r="G100" s="17">
        <v>6230</v>
      </c>
      <c r="H100" s="31" t="s">
        <v>61</v>
      </c>
      <c r="I100" s="10">
        <f>100000-100000</f>
        <v>0</v>
      </c>
      <c r="J100" s="10"/>
      <c r="K100" s="74"/>
      <c r="L100" s="136"/>
      <c r="P100" s="1"/>
      <c r="Q100" s="1"/>
      <c r="R100" s="1"/>
      <c r="S100" s="1"/>
      <c r="T100" s="9"/>
      <c r="U100" s="8"/>
      <c r="V100" s="1"/>
      <c r="W100" s="1"/>
    </row>
    <row r="101" spans="1:23" ht="24">
      <c r="A101" s="45" t="str">
        <f t="shared" si="13"/>
        <v>0</v>
      </c>
      <c r="B101" s="173">
        <v>94</v>
      </c>
      <c r="C101" s="1" t="str">
        <f t="shared" si="14"/>
        <v>TAK</v>
      </c>
      <c r="D101" s="19">
        <f>D99+1</f>
        <v>68</v>
      </c>
      <c r="E101" s="17">
        <v>900</v>
      </c>
      <c r="F101" s="17">
        <v>90002</v>
      </c>
      <c r="G101" s="17">
        <v>6060</v>
      </c>
      <c r="H101" s="31" t="s">
        <v>192</v>
      </c>
      <c r="I101" s="10">
        <v>70000</v>
      </c>
      <c r="J101" s="10"/>
      <c r="K101" s="74"/>
      <c r="L101" s="136"/>
      <c r="M101" s="98"/>
      <c r="P101" s="1"/>
      <c r="Q101" s="1"/>
      <c r="R101" s="1"/>
      <c r="S101" s="1"/>
      <c r="T101" s="9"/>
      <c r="U101" s="8"/>
      <c r="V101" s="1"/>
      <c r="W101" s="1"/>
    </row>
    <row r="102" spans="1:23" hidden="1">
      <c r="A102" s="45" t="str">
        <f t="shared" si="13"/>
        <v/>
      </c>
      <c r="B102" s="173"/>
      <c r="C102" s="1" t="str">
        <f t="shared" si="14"/>
        <v>NIE</v>
      </c>
      <c r="D102" s="19"/>
      <c r="E102" s="17"/>
      <c r="F102" s="17"/>
      <c r="G102" s="17"/>
      <c r="H102" s="31"/>
      <c r="I102" s="10"/>
      <c r="J102" s="10"/>
      <c r="K102" s="74"/>
      <c r="L102" s="136"/>
      <c r="M102" s="98"/>
      <c r="P102" s="1"/>
      <c r="Q102" s="1"/>
      <c r="R102" s="1"/>
      <c r="S102" s="1"/>
      <c r="T102" s="9"/>
      <c r="U102" s="8"/>
      <c r="V102" s="1"/>
      <c r="W102" s="1"/>
    </row>
    <row r="103" spans="1:23" hidden="1">
      <c r="A103" s="45" t="str">
        <f t="shared" si="13"/>
        <v/>
      </c>
      <c r="B103" s="173"/>
      <c r="C103" s="1" t="str">
        <f t="shared" si="14"/>
        <v>NIE</v>
      </c>
      <c r="D103" s="19"/>
      <c r="E103" s="17"/>
      <c r="F103" s="17"/>
      <c r="G103" s="17"/>
      <c r="H103" s="31"/>
      <c r="I103" s="10"/>
      <c r="J103" s="10"/>
      <c r="K103" s="74"/>
      <c r="L103" s="136"/>
      <c r="M103" s="98"/>
      <c r="P103" s="1"/>
      <c r="Q103" s="1"/>
      <c r="R103" s="1"/>
      <c r="S103" s="1"/>
      <c r="T103" s="9"/>
      <c r="U103" s="8"/>
      <c r="V103" s="1"/>
      <c r="W103" s="1"/>
    </row>
    <row r="104" spans="1:23" hidden="1">
      <c r="A104" s="45" t="str">
        <f t="shared" si="13"/>
        <v/>
      </c>
      <c r="B104" s="173"/>
      <c r="C104" s="1" t="str">
        <f t="shared" si="14"/>
        <v>NIE</v>
      </c>
      <c r="D104" s="19"/>
      <c r="E104" s="17"/>
      <c r="F104" s="17"/>
      <c r="G104" s="17"/>
      <c r="H104" s="31"/>
      <c r="I104" s="10"/>
      <c r="J104" s="10"/>
      <c r="K104" s="74"/>
      <c r="L104" s="136"/>
      <c r="M104" s="98"/>
      <c r="P104" s="1"/>
      <c r="Q104" s="1"/>
      <c r="R104" s="1"/>
      <c r="S104" s="1"/>
      <c r="T104" s="9"/>
      <c r="U104" s="8"/>
      <c r="V104" s="1"/>
      <c r="W104" s="1"/>
    </row>
    <row r="105" spans="1:23" hidden="1">
      <c r="A105" s="45" t="str">
        <f t="shared" si="13"/>
        <v/>
      </c>
      <c r="B105" s="173"/>
      <c r="C105" s="1" t="str">
        <f t="shared" si="14"/>
        <v>NIE</v>
      </c>
      <c r="D105" s="19"/>
      <c r="E105" s="17"/>
      <c r="F105" s="17"/>
      <c r="G105" s="17"/>
      <c r="H105" s="31"/>
      <c r="I105" s="10"/>
      <c r="J105" s="10"/>
      <c r="K105" s="74"/>
      <c r="L105" s="136"/>
      <c r="M105" s="98"/>
      <c r="P105" s="1"/>
      <c r="Q105" s="1"/>
      <c r="R105" s="1"/>
      <c r="S105" s="1"/>
      <c r="T105" s="9"/>
      <c r="U105" s="8"/>
      <c r="V105" s="1"/>
      <c r="W105" s="1"/>
    </row>
    <row r="106" spans="1:23" hidden="1">
      <c r="A106" s="45" t="str">
        <f t="shared" si="13"/>
        <v/>
      </c>
      <c r="B106" s="173"/>
      <c r="C106" s="1" t="str">
        <f t="shared" si="14"/>
        <v>NIE</v>
      </c>
      <c r="D106" s="19"/>
      <c r="E106" s="17"/>
      <c r="F106" s="17"/>
      <c r="G106" s="17"/>
      <c r="H106" s="31"/>
      <c r="I106" s="10"/>
      <c r="J106" s="10"/>
      <c r="K106" s="74"/>
      <c r="L106" s="136"/>
      <c r="M106" s="98"/>
      <c r="P106" s="1"/>
      <c r="Q106" s="1"/>
      <c r="R106" s="1"/>
      <c r="S106" s="1"/>
      <c r="T106" s="9"/>
      <c r="U106" s="8"/>
      <c r="V106" s="1"/>
      <c r="W106" s="1"/>
    </row>
    <row r="107" spans="1:23" hidden="1">
      <c r="A107" s="45" t="str">
        <f t="shared" si="13"/>
        <v/>
      </c>
      <c r="B107" s="173"/>
      <c r="C107" s="1" t="str">
        <f t="shared" si="14"/>
        <v>NIE</v>
      </c>
      <c r="D107" s="19"/>
      <c r="E107" s="17"/>
      <c r="F107" s="17"/>
      <c r="G107" s="17"/>
      <c r="H107" s="31"/>
      <c r="I107" s="10"/>
      <c r="J107" s="10"/>
      <c r="K107" s="74"/>
      <c r="L107" s="136"/>
      <c r="M107" s="98"/>
      <c r="P107" s="1"/>
      <c r="Q107" s="1"/>
      <c r="R107" s="1"/>
      <c r="S107" s="1"/>
      <c r="T107" s="9"/>
      <c r="U107" s="8"/>
      <c r="V107" s="1"/>
      <c r="W107" s="1"/>
    </row>
    <row r="108" spans="1:23" hidden="1">
      <c r="A108" s="45" t="str">
        <f t="shared" si="13"/>
        <v/>
      </c>
      <c r="B108" s="173"/>
      <c r="C108" s="1" t="str">
        <f t="shared" si="14"/>
        <v>NIE</v>
      </c>
      <c r="D108" s="19"/>
      <c r="E108" s="17"/>
      <c r="F108" s="17"/>
      <c r="G108" s="17"/>
      <c r="H108" s="31"/>
      <c r="I108" s="10"/>
      <c r="J108" s="10"/>
      <c r="K108" s="74"/>
      <c r="L108" s="136"/>
      <c r="M108" s="98"/>
      <c r="P108" s="1"/>
      <c r="Q108" s="1"/>
      <c r="R108" s="1"/>
      <c r="S108" s="1"/>
      <c r="T108" s="9"/>
      <c r="U108" s="8"/>
      <c r="V108" s="1"/>
      <c r="W108" s="1"/>
    </row>
    <row r="109" spans="1:23" ht="36">
      <c r="A109" s="45" t="str">
        <f t="shared" si="13"/>
        <v>0</v>
      </c>
      <c r="B109" s="173">
        <v>87</v>
      </c>
      <c r="C109" s="1" t="str">
        <f t="shared" si="14"/>
        <v>TAK</v>
      </c>
      <c r="D109" s="19">
        <f>D101+1</f>
        <v>69</v>
      </c>
      <c r="E109" s="17">
        <v>900</v>
      </c>
      <c r="F109" s="17">
        <v>90015</v>
      </c>
      <c r="G109" s="17">
        <v>6050</v>
      </c>
      <c r="H109" s="31" t="s">
        <v>183</v>
      </c>
      <c r="I109" s="10">
        <v>1200</v>
      </c>
      <c r="J109" s="10"/>
      <c r="K109" s="74"/>
      <c r="L109" s="136"/>
      <c r="M109" s="98"/>
      <c r="P109" s="1"/>
      <c r="Q109" s="1"/>
      <c r="R109" s="1"/>
      <c r="S109" s="1"/>
      <c r="T109" s="9"/>
      <c r="U109" s="8"/>
      <c r="V109" s="1"/>
      <c r="W109" s="1"/>
    </row>
    <row r="110" spans="1:23" ht="36">
      <c r="A110" s="45" t="str">
        <f t="shared" si="13"/>
        <v>0</v>
      </c>
      <c r="B110" s="173">
        <v>88</v>
      </c>
      <c r="C110" s="1" t="str">
        <f t="shared" si="14"/>
        <v>TAK</v>
      </c>
      <c r="D110" s="19">
        <f>D109+1</f>
        <v>70</v>
      </c>
      <c r="E110" s="17">
        <v>900</v>
      </c>
      <c r="F110" s="17">
        <v>90015</v>
      </c>
      <c r="G110" s="17">
        <v>6050</v>
      </c>
      <c r="H110" s="31" t="s">
        <v>182</v>
      </c>
      <c r="I110" s="10">
        <v>7000</v>
      </c>
      <c r="J110" s="10"/>
      <c r="K110" s="74"/>
      <c r="L110" s="136"/>
      <c r="M110" s="98"/>
      <c r="P110" s="1"/>
      <c r="Q110" s="1"/>
      <c r="R110" s="1"/>
      <c r="S110" s="1"/>
      <c r="T110" s="9"/>
      <c r="U110" s="8"/>
      <c r="V110" s="1"/>
      <c r="W110" s="1"/>
    </row>
    <row r="111" spans="1:23">
      <c r="A111" s="45" t="str">
        <f t="shared" si="13"/>
        <v>0</v>
      </c>
      <c r="B111" s="173">
        <v>46</v>
      </c>
      <c r="C111" s="1" t="str">
        <f t="shared" si="14"/>
        <v>TAK</v>
      </c>
      <c r="D111" s="19">
        <f>D110+1</f>
        <v>71</v>
      </c>
      <c r="E111" s="17">
        <v>900</v>
      </c>
      <c r="F111" s="17">
        <v>90015</v>
      </c>
      <c r="G111" s="17">
        <v>6050</v>
      </c>
      <c r="H111" s="31" t="s">
        <v>125</v>
      </c>
      <c r="I111" s="10">
        <f>150000-44000</f>
        <v>106000</v>
      </c>
      <c r="J111" s="10"/>
      <c r="K111" s="74"/>
      <c r="L111" s="136"/>
      <c r="M111" s="98"/>
      <c r="P111" s="45"/>
      <c r="Q111" s="1"/>
      <c r="R111" s="1"/>
      <c r="S111" s="1"/>
      <c r="T111" s="9"/>
      <c r="U111" s="8"/>
      <c r="V111" s="1"/>
      <c r="W111" s="1"/>
    </row>
    <row r="112" spans="1:23" ht="24">
      <c r="A112" s="45" t="str">
        <f t="shared" si="13"/>
        <v>0</v>
      </c>
      <c r="B112" s="173">
        <v>47</v>
      </c>
      <c r="C112" s="1" t="str">
        <f t="shared" si="14"/>
        <v>TAK</v>
      </c>
      <c r="D112" s="19">
        <f>D111+1</f>
        <v>72</v>
      </c>
      <c r="E112" s="17">
        <v>900</v>
      </c>
      <c r="F112" s="17">
        <v>90015</v>
      </c>
      <c r="G112" s="17">
        <v>6050</v>
      </c>
      <c r="H112" s="31" t="s">
        <v>126</v>
      </c>
      <c r="I112" s="10">
        <f>50000+16200</f>
        <v>66200</v>
      </c>
      <c r="J112" s="10"/>
      <c r="K112" s="74"/>
      <c r="L112" s="136"/>
      <c r="M112" s="98"/>
      <c r="N112" s="97"/>
      <c r="O112" s="97"/>
      <c r="P112" s="45"/>
      <c r="Q112" s="1"/>
      <c r="R112" s="1"/>
      <c r="S112" s="1"/>
      <c r="T112" s="9"/>
      <c r="U112" s="8"/>
      <c r="V112" s="1"/>
      <c r="W112" s="1"/>
    </row>
    <row r="113" spans="1:23">
      <c r="A113" s="45" t="str">
        <f t="shared" si="13"/>
        <v>0</v>
      </c>
      <c r="B113" s="173">
        <v>48</v>
      </c>
      <c r="C113" s="1" t="str">
        <f t="shared" si="14"/>
        <v>TAK</v>
      </c>
      <c r="D113" s="19">
        <f t="shared" ref="D113:D116" si="19">D112+1</f>
        <v>73</v>
      </c>
      <c r="E113" s="17">
        <v>900</v>
      </c>
      <c r="F113" s="17">
        <v>90015</v>
      </c>
      <c r="G113" s="17">
        <v>6050</v>
      </c>
      <c r="H113" s="31" t="s">
        <v>127</v>
      </c>
      <c r="I113" s="10">
        <v>40000</v>
      </c>
      <c r="J113" s="10"/>
      <c r="K113" s="74"/>
      <c r="L113" s="136"/>
      <c r="M113" s="98"/>
      <c r="P113" s="45"/>
      <c r="Q113" s="1"/>
      <c r="R113" s="1"/>
      <c r="S113" s="1"/>
      <c r="T113" s="9"/>
      <c r="U113" s="8"/>
      <c r="V113" s="1"/>
      <c r="W113" s="1"/>
    </row>
    <row r="114" spans="1:23" ht="24">
      <c r="A114" s="45" t="str">
        <f t="shared" si="13"/>
        <v>0</v>
      </c>
      <c r="B114" s="173">
        <v>49</v>
      </c>
      <c r="C114" s="1" t="str">
        <f t="shared" si="14"/>
        <v>TAK</v>
      </c>
      <c r="D114" s="19">
        <f t="shared" si="19"/>
        <v>74</v>
      </c>
      <c r="E114" s="17">
        <v>900</v>
      </c>
      <c r="F114" s="17">
        <v>90015</v>
      </c>
      <c r="G114" s="17">
        <v>6050</v>
      </c>
      <c r="H114" s="31" t="s">
        <v>148</v>
      </c>
      <c r="I114" s="10">
        <f>50000+50200</f>
        <v>100200</v>
      </c>
      <c r="J114" s="10"/>
      <c r="K114" s="74"/>
      <c r="L114" s="136"/>
      <c r="M114" s="98"/>
      <c r="O114" s="97"/>
      <c r="P114" s="9"/>
      <c r="Q114" s="1"/>
      <c r="R114" s="1"/>
      <c r="S114" s="1"/>
      <c r="T114" s="9"/>
      <c r="U114" s="8"/>
      <c r="V114" s="1"/>
      <c r="W114" s="1"/>
    </row>
    <row r="115" spans="1:23" ht="24" customHeight="1">
      <c r="A115" s="45" t="str">
        <f t="shared" si="13"/>
        <v>0</v>
      </c>
      <c r="B115" s="173">
        <v>50</v>
      </c>
      <c r="C115" s="1" t="str">
        <f t="shared" si="14"/>
        <v>TAK</v>
      </c>
      <c r="D115" s="19">
        <f t="shared" si="19"/>
        <v>75</v>
      </c>
      <c r="E115" s="17">
        <v>900</v>
      </c>
      <c r="F115" s="17">
        <v>90015</v>
      </c>
      <c r="G115" s="17">
        <v>6050</v>
      </c>
      <c r="H115" s="31" t="s">
        <v>128</v>
      </c>
      <c r="I115" s="10">
        <f>60000-30000</f>
        <v>30000</v>
      </c>
      <c r="J115" s="10"/>
      <c r="K115" s="74"/>
      <c r="L115" s="136"/>
      <c r="M115" s="98"/>
      <c r="O115" s="97"/>
      <c r="P115" s="45"/>
      <c r="Q115" s="1"/>
      <c r="R115" s="1"/>
      <c r="S115" s="1"/>
      <c r="T115" s="9"/>
      <c r="U115" s="8"/>
      <c r="V115" s="8"/>
      <c r="W115" s="1"/>
    </row>
    <row r="116" spans="1:23" ht="24">
      <c r="A116" s="45" t="str">
        <f t="shared" si="13"/>
        <v>0</v>
      </c>
      <c r="B116" s="173">
        <v>51</v>
      </c>
      <c r="C116" s="1" t="str">
        <f t="shared" si="14"/>
        <v>TAK</v>
      </c>
      <c r="D116" s="19">
        <f t="shared" si="19"/>
        <v>76</v>
      </c>
      <c r="E116" s="17">
        <v>900</v>
      </c>
      <c r="F116" s="17">
        <v>90015</v>
      </c>
      <c r="G116" s="17">
        <v>6050</v>
      </c>
      <c r="H116" s="31" t="s">
        <v>111</v>
      </c>
      <c r="I116" s="10">
        <f>12000+7600</f>
        <v>19600</v>
      </c>
      <c r="J116" s="10">
        <v>12000</v>
      </c>
      <c r="K116" s="74" t="s">
        <v>112</v>
      </c>
      <c r="L116" s="136"/>
      <c r="O116" s="97"/>
      <c r="P116" s="45"/>
      <c r="Q116" s="1"/>
      <c r="R116" s="1"/>
      <c r="S116" s="1"/>
      <c r="T116" s="9"/>
      <c r="U116" s="8"/>
      <c r="V116" s="8"/>
      <c r="W116" s="1"/>
    </row>
    <row r="117" spans="1:23" ht="60">
      <c r="A117" s="45" t="str">
        <f t="shared" si="13"/>
        <v>0</v>
      </c>
      <c r="B117" s="173">
        <v>52</v>
      </c>
      <c r="C117" s="1" t="str">
        <f t="shared" si="14"/>
        <v>TAK</v>
      </c>
      <c r="D117" s="19">
        <f>D116+1</f>
        <v>77</v>
      </c>
      <c r="E117" s="17">
        <v>900</v>
      </c>
      <c r="F117" s="17">
        <v>90015</v>
      </c>
      <c r="G117" s="17">
        <v>6050</v>
      </c>
      <c r="H117" s="143" t="s">
        <v>120</v>
      </c>
      <c r="I117" s="10">
        <v>3570000</v>
      </c>
      <c r="J117" s="10"/>
      <c r="K117" s="74"/>
      <c r="L117" s="136"/>
      <c r="P117" s="45"/>
      <c r="Q117" s="1"/>
      <c r="R117" s="1"/>
      <c r="S117" s="1"/>
      <c r="T117" s="9"/>
      <c r="U117" s="8"/>
      <c r="V117" s="8"/>
      <c r="W117" s="1"/>
    </row>
    <row r="118" spans="1:23" ht="13.5" thickBot="1">
      <c r="A118" s="45" t="str">
        <f t="shared" si="13"/>
        <v>8</v>
      </c>
      <c r="B118" s="173">
        <v>53</v>
      </c>
      <c r="C118" s="1" t="str">
        <f t="shared" si="14"/>
        <v>TAK</v>
      </c>
      <c r="D118" s="91">
        <f>D117+1</f>
        <v>78</v>
      </c>
      <c r="E118" s="95">
        <v>900</v>
      </c>
      <c r="F118" s="95">
        <v>90095</v>
      </c>
      <c r="G118" s="95">
        <v>6058</v>
      </c>
      <c r="H118" s="144" t="s">
        <v>76</v>
      </c>
      <c r="I118" s="93">
        <v>992000</v>
      </c>
      <c r="J118" s="93"/>
      <c r="K118" s="108"/>
      <c r="L118" s="140"/>
      <c r="P118" s="45"/>
      <c r="Q118" s="1"/>
      <c r="R118" s="1"/>
      <c r="S118" s="1"/>
      <c r="T118" s="9"/>
      <c r="U118" s="8"/>
      <c r="V118" s="8"/>
      <c r="W118" s="1"/>
    </row>
    <row r="119" spans="1:23" ht="13.5" thickBot="1">
      <c r="A119" s="45" t="str">
        <f t="shared" si="13"/>
        <v>X</v>
      </c>
      <c r="B119" s="173" t="s">
        <v>0</v>
      </c>
      <c r="C119" s="1" t="str">
        <f t="shared" si="14"/>
        <v>TAK</v>
      </c>
      <c r="D119" s="22" t="s">
        <v>8</v>
      </c>
      <c r="E119" s="169">
        <v>900</v>
      </c>
      <c r="F119" s="169" t="s">
        <v>8</v>
      </c>
      <c r="G119" s="169" t="s">
        <v>8</v>
      </c>
      <c r="H119" s="170" t="s">
        <v>17</v>
      </c>
      <c r="I119" s="12">
        <f>SUM(I93:I118)</f>
        <v>14444700</v>
      </c>
      <c r="J119" s="12">
        <f>SUM(J93:J118)</f>
        <v>12000</v>
      </c>
      <c r="K119" s="195">
        <f>SUM(K93:K118)</f>
        <v>0</v>
      </c>
      <c r="L119" s="78">
        <f>SUM(L93:L118)</f>
        <v>-440500</v>
      </c>
      <c r="P119" s="45"/>
      <c r="Q119" s="1"/>
      <c r="R119" s="1"/>
      <c r="S119" s="1"/>
      <c r="T119" s="9"/>
      <c r="U119" s="8"/>
      <c r="V119" s="1"/>
      <c r="W119" s="1"/>
    </row>
    <row r="120" spans="1:23" ht="60">
      <c r="A120" s="45" t="str">
        <f t="shared" ref="A120:A121" si="20">RIGHT(G120,1)</f>
        <v>0</v>
      </c>
      <c r="B120" s="173">
        <v>90</v>
      </c>
      <c r="C120" s="1" t="str">
        <f t="shared" ref="C120:C121" si="21">IF(I120&gt;0,"TAK",IF(L120&lt;0,"TAK","NIE"))</f>
        <v>TAK</v>
      </c>
      <c r="D120" s="84">
        <f>D118+1</f>
        <v>79</v>
      </c>
      <c r="E120" s="128">
        <v>921</v>
      </c>
      <c r="F120" s="128">
        <v>92116</v>
      </c>
      <c r="G120" s="128">
        <v>6220</v>
      </c>
      <c r="H120" s="131" t="s">
        <v>187</v>
      </c>
      <c r="I120" s="87">
        <v>200000</v>
      </c>
      <c r="J120" s="87"/>
      <c r="K120" s="192"/>
      <c r="L120" s="193"/>
      <c r="M120" s="99"/>
      <c r="N120" s="194"/>
      <c r="O120" s="194"/>
      <c r="P120" s="45"/>
      <c r="Q120" s="1"/>
      <c r="R120" s="1"/>
      <c r="S120" s="1"/>
      <c r="T120" s="9"/>
      <c r="U120" s="8"/>
      <c r="V120" s="1"/>
      <c r="W120" s="1"/>
    </row>
    <row r="121" spans="1:23" ht="48">
      <c r="A121" s="45" t="str">
        <f t="shared" si="20"/>
        <v>8</v>
      </c>
      <c r="B121" s="173">
        <v>54</v>
      </c>
      <c r="C121" s="1" t="str">
        <f t="shared" si="21"/>
        <v>TAK</v>
      </c>
      <c r="D121" s="19">
        <f>D120+1</f>
        <v>80</v>
      </c>
      <c r="E121" s="17">
        <v>921</v>
      </c>
      <c r="F121" s="17">
        <v>92195</v>
      </c>
      <c r="G121" s="69">
        <v>6058</v>
      </c>
      <c r="H121" s="31" t="s">
        <v>48</v>
      </c>
      <c r="I121" s="10">
        <f>678000+200000</f>
        <v>878000</v>
      </c>
      <c r="J121" s="10"/>
      <c r="K121" s="190"/>
      <c r="L121" s="46"/>
      <c r="P121" s="45"/>
      <c r="Q121" s="1"/>
      <c r="R121" s="1"/>
      <c r="S121" s="1"/>
      <c r="T121" s="9"/>
      <c r="U121" s="8"/>
      <c r="V121" s="8"/>
      <c r="W121" s="1"/>
    </row>
    <row r="122" spans="1:23" ht="48">
      <c r="A122" s="45" t="str">
        <f t="shared" si="13"/>
        <v>9</v>
      </c>
      <c r="B122" s="173">
        <v>55</v>
      </c>
      <c r="C122" s="1" t="str">
        <f t="shared" si="14"/>
        <v>TAK</v>
      </c>
      <c r="D122" s="19">
        <f>D121+1</f>
        <v>81</v>
      </c>
      <c r="E122" s="17">
        <v>921</v>
      </c>
      <c r="F122" s="17">
        <v>92195</v>
      </c>
      <c r="G122" s="69">
        <v>6059</v>
      </c>
      <c r="H122" s="31" t="s">
        <v>48</v>
      </c>
      <c r="I122" s="10">
        <f>1472000-200000</f>
        <v>1272000</v>
      </c>
      <c r="J122" s="10"/>
      <c r="K122" s="190"/>
      <c r="L122" s="46"/>
      <c r="P122" s="45"/>
      <c r="Q122" s="1"/>
      <c r="R122" s="1"/>
      <c r="S122" s="1"/>
      <c r="T122" s="9"/>
      <c r="U122" s="8"/>
      <c r="V122" s="1"/>
      <c r="W122" s="1"/>
    </row>
    <row r="123" spans="1:23" ht="24">
      <c r="A123" s="45" t="str">
        <f t="shared" si="13"/>
        <v>0</v>
      </c>
      <c r="B123" s="173">
        <v>37</v>
      </c>
      <c r="C123" s="1" t="str">
        <f t="shared" si="14"/>
        <v>TAK</v>
      </c>
      <c r="D123" s="19">
        <f>D122+1</f>
        <v>82</v>
      </c>
      <c r="E123" s="17">
        <v>921</v>
      </c>
      <c r="F123" s="17">
        <v>92195</v>
      </c>
      <c r="G123" s="17">
        <v>6050</v>
      </c>
      <c r="H123" s="31" t="s">
        <v>160</v>
      </c>
      <c r="I123" s="10">
        <v>145000</v>
      </c>
      <c r="J123" s="10"/>
      <c r="K123" s="190"/>
      <c r="L123" s="46"/>
      <c r="M123" s="98"/>
      <c r="P123" s="1"/>
      <c r="Q123" s="1"/>
      <c r="R123" s="1"/>
      <c r="S123" s="1"/>
      <c r="T123" s="9"/>
      <c r="U123" s="8"/>
      <c r="V123" s="1"/>
      <c r="W123" s="1"/>
    </row>
    <row r="124" spans="1:23" ht="13.5" hidden="1" thickBot="1">
      <c r="A124" s="45" t="str">
        <f t="shared" si="13"/>
        <v/>
      </c>
      <c r="B124" s="173"/>
      <c r="C124" s="1" t="str">
        <f t="shared" si="14"/>
        <v>NIE</v>
      </c>
      <c r="D124" s="91"/>
      <c r="E124" s="95"/>
      <c r="F124" s="95"/>
      <c r="G124" s="95"/>
      <c r="H124" s="130"/>
      <c r="I124" s="93"/>
      <c r="J124" s="93"/>
      <c r="K124" s="191"/>
      <c r="L124" s="100"/>
      <c r="M124" s="98"/>
      <c r="P124" s="1"/>
      <c r="Q124" s="1"/>
      <c r="R124" s="1"/>
      <c r="S124" s="1"/>
      <c r="T124" s="9"/>
      <c r="U124" s="8"/>
      <c r="V124" s="1"/>
      <c r="W124" s="1"/>
    </row>
    <row r="125" spans="1:23" ht="13.5" thickBot="1">
      <c r="A125" s="45" t="str">
        <f t="shared" si="13"/>
        <v>X</v>
      </c>
      <c r="B125" s="173" t="s">
        <v>0</v>
      </c>
      <c r="C125" s="1" t="str">
        <f t="shared" si="14"/>
        <v>TAK</v>
      </c>
      <c r="D125" s="62" t="s">
        <v>8</v>
      </c>
      <c r="E125" s="81">
        <v>921</v>
      </c>
      <c r="F125" s="81" t="s">
        <v>8</v>
      </c>
      <c r="G125" s="81" t="s">
        <v>8</v>
      </c>
      <c r="H125" s="188" t="s">
        <v>45</v>
      </c>
      <c r="I125" s="63">
        <f>SUM(I120:I124)</f>
        <v>2495000</v>
      </c>
      <c r="J125" s="63">
        <f>SUM(J121:J124)</f>
        <v>0</v>
      </c>
      <c r="K125" s="189"/>
      <c r="L125" s="102">
        <f>SUM(L120:L124)</f>
        <v>0</v>
      </c>
      <c r="P125" s="45"/>
      <c r="Q125" s="1"/>
      <c r="R125" s="1"/>
      <c r="S125" s="1"/>
      <c r="T125" s="9"/>
      <c r="U125" s="8"/>
      <c r="V125" s="1"/>
      <c r="W125" s="1"/>
    </row>
    <row r="126" spans="1:23" ht="24" customHeight="1">
      <c r="A126" s="45" t="str">
        <f t="shared" si="13"/>
        <v>0</v>
      </c>
      <c r="B126" s="173">
        <v>56</v>
      </c>
      <c r="C126" s="1" t="str">
        <f t="shared" si="14"/>
        <v>TAK</v>
      </c>
      <c r="D126" s="84">
        <f>D123+1</f>
        <v>83</v>
      </c>
      <c r="E126" s="158">
        <v>926</v>
      </c>
      <c r="F126" s="158">
        <v>92695</v>
      </c>
      <c r="G126" s="158">
        <v>6050</v>
      </c>
      <c r="H126" s="213" t="s">
        <v>82</v>
      </c>
      <c r="I126" s="87">
        <f>4500000-2200000+35000</f>
        <v>2335000</v>
      </c>
      <c r="J126" s="87"/>
      <c r="K126" s="138"/>
      <c r="L126" s="135"/>
      <c r="P126" s="45"/>
      <c r="Q126" s="1"/>
      <c r="R126" s="1"/>
      <c r="S126" s="1"/>
      <c r="T126" s="9"/>
      <c r="U126" s="8"/>
      <c r="V126" s="8"/>
      <c r="W126" s="1"/>
    </row>
    <row r="127" spans="1:23" ht="24" customHeight="1">
      <c r="A127" s="45" t="str">
        <f t="shared" si="13"/>
        <v>0</v>
      </c>
      <c r="B127" s="173"/>
      <c r="C127" s="1" t="str">
        <f t="shared" si="14"/>
        <v>TAK</v>
      </c>
      <c r="D127" s="23">
        <f>D126+1</f>
        <v>84</v>
      </c>
      <c r="E127" s="17">
        <v>926</v>
      </c>
      <c r="F127" s="17">
        <v>92695</v>
      </c>
      <c r="G127" s="17">
        <v>6060</v>
      </c>
      <c r="H127" s="215" t="s">
        <v>193</v>
      </c>
      <c r="I127" s="214">
        <v>160000</v>
      </c>
      <c r="J127" s="35"/>
      <c r="K127" s="212"/>
      <c r="L127" s="135">
        <v>160000</v>
      </c>
      <c r="P127" s="45"/>
      <c r="Q127" s="1"/>
      <c r="R127" s="1"/>
      <c r="S127" s="1"/>
      <c r="T127" s="9"/>
      <c r="U127" s="8"/>
      <c r="V127" s="8"/>
      <c r="W127" s="1"/>
    </row>
    <row r="128" spans="1:23" ht="24" customHeight="1">
      <c r="A128" s="45" t="str">
        <f t="shared" si="13"/>
        <v>0</v>
      </c>
      <c r="B128" s="173"/>
      <c r="C128" s="1" t="str">
        <f t="shared" si="14"/>
        <v>TAK</v>
      </c>
      <c r="D128" s="23">
        <f t="shared" ref="D128:D129" si="22">D127+1</f>
        <v>85</v>
      </c>
      <c r="E128" s="17">
        <v>926</v>
      </c>
      <c r="F128" s="17">
        <v>92695</v>
      </c>
      <c r="G128" s="17">
        <v>6060</v>
      </c>
      <c r="H128" s="215" t="s">
        <v>196</v>
      </c>
      <c r="I128" s="214">
        <v>30000</v>
      </c>
      <c r="J128" s="35"/>
      <c r="K128" s="212"/>
      <c r="L128" s="135">
        <v>30000</v>
      </c>
      <c r="P128" s="45"/>
      <c r="Q128" s="1"/>
      <c r="R128" s="1"/>
      <c r="S128" s="1"/>
      <c r="T128" s="9"/>
      <c r="U128" s="8"/>
      <c r="V128" s="8"/>
      <c r="W128" s="1"/>
    </row>
    <row r="129" spans="1:28" ht="48">
      <c r="A129" s="45" t="str">
        <f t="shared" si="13"/>
        <v>0</v>
      </c>
      <c r="B129" s="173">
        <v>57</v>
      </c>
      <c r="C129" s="1" t="str">
        <f t="shared" si="14"/>
        <v>TAK</v>
      </c>
      <c r="D129" s="23">
        <f t="shared" si="22"/>
        <v>86</v>
      </c>
      <c r="E129" s="17">
        <v>926</v>
      </c>
      <c r="F129" s="17">
        <v>92695</v>
      </c>
      <c r="G129" s="17">
        <v>6220</v>
      </c>
      <c r="H129" s="31" t="s">
        <v>90</v>
      </c>
      <c r="I129" s="10">
        <f>150000+30000</f>
        <v>180000</v>
      </c>
      <c r="J129" s="10"/>
      <c r="K129" s="139"/>
      <c r="L129" s="136"/>
      <c r="P129" s="1"/>
      <c r="Q129" s="1"/>
      <c r="R129" s="1"/>
      <c r="S129" s="1"/>
      <c r="T129" s="9"/>
      <c r="U129" s="8"/>
      <c r="V129" s="1"/>
      <c r="W129" s="1"/>
    </row>
    <row r="130" spans="1:28" ht="24">
      <c r="A130" s="45" t="str">
        <f t="shared" si="13"/>
        <v>0</v>
      </c>
      <c r="B130" s="173">
        <v>73</v>
      </c>
      <c r="C130" s="1" t="str">
        <f t="shared" si="14"/>
        <v>TAK</v>
      </c>
      <c r="D130" s="19">
        <f t="shared" ref="D130:D133" si="23">D129+1</f>
        <v>87</v>
      </c>
      <c r="E130" s="17">
        <v>926</v>
      </c>
      <c r="F130" s="17">
        <v>92695</v>
      </c>
      <c r="G130" s="181">
        <v>6050</v>
      </c>
      <c r="H130" s="183" t="s">
        <v>166</v>
      </c>
      <c r="I130" s="64">
        <v>110000</v>
      </c>
      <c r="J130" s="64"/>
      <c r="K130" s="182"/>
      <c r="L130" s="140"/>
      <c r="P130" s="1"/>
      <c r="Q130" s="1"/>
      <c r="R130" s="1"/>
      <c r="S130" s="1"/>
      <c r="T130" s="9"/>
      <c r="U130" s="8"/>
      <c r="V130" s="1"/>
      <c r="W130" s="1"/>
    </row>
    <row r="131" spans="1:28" ht="24">
      <c r="A131" s="45" t="str">
        <f t="shared" si="13"/>
        <v>0</v>
      </c>
      <c r="B131" s="173">
        <v>74</v>
      </c>
      <c r="C131" s="1" t="str">
        <f t="shared" si="14"/>
        <v>TAK</v>
      </c>
      <c r="D131" s="19">
        <f t="shared" si="23"/>
        <v>88</v>
      </c>
      <c r="E131" s="17">
        <v>926</v>
      </c>
      <c r="F131" s="17">
        <v>92695</v>
      </c>
      <c r="G131" s="181">
        <v>6050</v>
      </c>
      <c r="H131" s="183" t="s">
        <v>167</v>
      </c>
      <c r="I131" s="64">
        <v>114000</v>
      </c>
      <c r="J131" s="64"/>
      <c r="K131" s="182"/>
      <c r="L131" s="140"/>
      <c r="P131" s="1"/>
      <c r="Q131" s="1"/>
      <c r="R131" s="1"/>
      <c r="S131" s="1"/>
      <c r="T131" s="9"/>
      <c r="U131" s="8"/>
      <c r="V131" s="1"/>
      <c r="W131" s="1"/>
    </row>
    <row r="132" spans="1:28" ht="24">
      <c r="A132" s="45" t="str">
        <f t="shared" si="13"/>
        <v>0</v>
      </c>
      <c r="B132" s="173">
        <v>75</v>
      </c>
      <c r="C132" s="1" t="str">
        <f t="shared" si="14"/>
        <v>TAK</v>
      </c>
      <c r="D132" s="19">
        <f t="shared" si="23"/>
        <v>89</v>
      </c>
      <c r="E132" s="181">
        <v>926</v>
      </c>
      <c r="F132" s="181">
        <v>92695</v>
      </c>
      <c r="G132" s="181">
        <v>6050</v>
      </c>
      <c r="H132" s="183" t="s">
        <v>168</v>
      </c>
      <c r="I132" s="64">
        <v>115000</v>
      </c>
      <c r="J132" s="64"/>
      <c r="K132" s="182"/>
      <c r="L132" s="140"/>
      <c r="P132" s="1"/>
      <c r="Q132" s="1"/>
      <c r="R132" s="1"/>
      <c r="S132" s="1"/>
      <c r="T132" s="9"/>
      <c r="U132" s="8"/>
      <c r="V132" s="1"/>
      <c r="W132" s="1"/>
    </row>
    <row r="133" spans="1:28" ht="24.75" thickBot="1">
      <c r="A133" s="45" t="str">
        <f t="shared" si="13"/>
        <v>0</v>
      </c>
      <c r="B133" s="173">
        <v>76</v>
      </c>
      <c r="C133" s="1" t="str">
        <f t="shared" si="14"/>
        <v>TAK</v>
      </c>
      <c r="D133" s="58">
        <f t="shared" si="23"/>
        <v>90</v>
      </c>
      <c r="E133" s="181">
        <v>926</v>
      </c>
      <c r="F133" s="181">
        <v>92695</v>
      </c>
      <c r="G133" s="181">
        <v>6050</v>
      </c>
      <c r="H133" s="183" t="s">
        <v>169</v>
      </c>
      <c r="I133" s="64">
        <v>109000</v>
      </c>
      <c r="J133" s="64"/>
      <c r="K133" s="182"/>
      <c r="L133" s="140"/>
      <c r="M133" s="98"/>
      <c r="P133" s="1"/>
      <c r="Q133" s="1"/>
      <c r="R133" s="1"/>
      <c r="S133" s="1"/>
      <c r="T133" s="9"/>
      <c r="U133" s="8"/>
      <c r="V133" s="1"/>
      <c r="W133" s="1"/>
    </row>
    <row r="134" spans="1:28" ht="13.5" thickBot="1">
      <c r="A134" s="45" t="str">
        <f t="shared" si="13"/>
        <v>X</v>
      </c>
      <c r="B134" s="173" t="s">
        <v>0</v>
      </c>
      <c r="C134" s="1" t="str">
        <f t="shared" si="14"/>
        <v>TAK</v>
      </c>
      <c r="D134" s="22" t="s">
        <v>8</v>
      </c>
      <c r="E134" s="169">
        <v>926</v>
      </c>
      <c r="F134" s="169" t="s">
        <v>8</v>
      </c>
      <c r="G134" s="169" t="s">
        <v>8</v>
      </c>
      <c r="H134" s="170" t="s">
        <v>46</v>
      </c>
      <c r="I134" s="12">
        <f>SUM(I126:I133)</f>
        <v>3153000</v>
      </c>
      <c r="J134" s="12">
        <f>SUM(J126:J133)</f>
        <v>0</v>
      </c>
      <c r="K134" s="180"/>
      <c r="L134" s="78">
        <f>SUM(L126:L133)</f>
        <v>190000</v>
      </c>
      <c r="P134" s="45"/>
      <c r="Q134" s="1"/>
      <c r="R134" s="1"/>
      <c r="S134" s="1"/>
      <c r="T134" s="9"/>
      <c r="U134" s="8"/>
      <c r="V134" s="1"/>
      <c r="W134" s="1"/>
    </row>
    <row r="135" spans="1:28" ht="13.5" thickBot="1">
      <c r="A135" s="45" t="str">
        <f t="shared" si="13"/>
        <v/>
      </c>
      <c r="B135" s="173" t="s">
        <v>0</v>
      </c>
      <c r="C135" s="88" t="s">
        <v>70</v>
      </c>
      <c r="D135" s="62"/>
      <c r="E135" s="81"/>
      <c r="F135" s="81"/>
      <c r="G135" s="81"/>
      <c r="H135" s="82" t="s">
        <v>12</v>
      </c>
      <c r="I135" s="63">
        <f>I119+I90+I88+I82+I66+I22+I125+I134+I69+I92+I73</f>
        <v>40446522.159999996</v>
      </c>
      <c r="J135" s="63">
        <f>J119+J90+J88+J82+J66+J22+J125+J134+J69+J92+J73</f>
        <v>297876.07</v>
      </c>
      <c r="K135" s="137">
        <f>K119+K90+K88+K82+K66+K22+K125+K134+K69+K92+K73</f>
        <v>0</v>
      </c>
      <c r="L135" s="78">
        <f>L119+L90+L88+L82+L66+L22+L125+L134+L69+L92+L73</f>
        <v>-682500</v>
      </c>
      <c r="P135" s="45"/>
      <c r="Q135" s="1"/>
      <c r="R135" s="1"/>
      <c r="S135" s="1"/>
      <c r="T135" s="9"/>
      <c r="U135" s="8"/>
      <c r="V135" s="1"/>
      <c r="W135" s="1"/>
    </row>
    <row r="136" spans="1:28" hidden="1">
      <c r="A136" s="45" t="str">
        <f t="shared" si="13"/>
        <v/>
      </c>
      <c r="B136" s="45"/>
      <c r="C136" s="1" t="str">
        <f t="shared" ref="C136:C159" si="24">IF(I136&gt;0,"TAK",IF(L136&lt;0,"TAK","NIE"))</f>
        <v>NIE</v>
      </c>
      <c r="M136"/>
      <c r="N136"/>
      <c r="O136"/>
      <c r="P136" s="1"/>
      <c r="Q136" s="1"/>
      <c r="R136" s="1"/>
      <c r="S136" s="1"/>
      <c r="T136" s="9"/>
      <c r="U136" s="8"/>
      <c r="V136" s="1"/>
      <c r="W136" s="1"/>
    </row>
    <row r="137" spans="1:28" hidden="1">
      <c r="A137" s="45" t="str">
        <f t="shared" si="13"/>
        <v/>
      </c>
      <c r="B137" s="45"/>
      <c r="C137" s="1" t="str">
        <f t="shared" si="24"/>
        <v>NIE</v>
      </c>
      <c r="L137" s="8"/>
      <c r="M137"/>
      <c r="N137"/>
      <c r="O137"/>
      <c r="P137" s="1"/>
      <c r="Q137" s="1"/>
      <c r="R137" s="1"/>
      <c r="S137" s="1"/>
      <c r="T137" s="9"/>
      <c r="U137" s="8"/>
      <c r="V137" s="1"/>
      <c r="W137" s="1"/>
      <c r="X137" s="4"/>
    </row>
    <row r="138" spans="1:28" hidden="1">
      <c r="A138" s="45" t="str">
        <f t="shared" si="13"/>
        <v/>
      </c>
      <c r="B138" s="45"/>
      <c r="C138" s="1" t="str">
        <f t="shared" si="24"/>
        <v>NIE</v>
      </c>
      <c r="M138"/>
      <c r="N138"/>
      <c r="O138"/>
      <c r="P138" s="1"/>
      <c r="Q138" s="1"/>
      <c r="R138" s="1"/>
      <c r="S138" s="1"/>
      <c r="T138" s="9"/>
      <c r="U138" s="8"/>
      <c r="V138" s="1"/>
      <c r="W138" s="1"/>
      <c r="X138" s="3"/>
      <c r="Y138" s="3"/>
      <c r="Z138" s="3"/>
      <c r="AA138" s="4"/>
    </row>
    <row r="139" spans="1:28" hidden="1">
      <c r="A139" s="45" t="str">
        <f t="shared" si="13"/>
        <v/>
      </c>
      <c r="B139" s="45"/>
      <c r="C139" s="1" t="str">
        <f t="shared" si="24"/>
        <v>NIE</v>
      </c>
      <c r="M139"/>
      <c r="N139"/>
      <c r="O139"/>
      <c r="P139" s="1"/>
      <c r="Q139" s="1"/>
      <c r="R139" s="1"/>
      <c r="S139" s="1"/>
      <c r="T139" s="9"/>
      <c r="U139" s="8"/>
      <c r="V139" s="1"/>
      <c r="W139" s="1"/>
      <c r="AA139" s="4"/>
      <c r="AB139" s="3"/>
    </row>
    <row r="140" spans="1:28" hidden="1">
      <c r="A140" s="45" t="str">
        <f t="shared" si="13"/>
        <v/>
      </c>
      <c r="B140" s="45"/>
      <c r="C140" s="1" t="str">
        <f t="shared" si="24"/>
        <v>NIE</v>
      </c>
      <c r="M140"/>
      <c r="N140"/>
      <c r="O140"/>
      <c r="P140" s="1"/>
      <c r="Q140" s="1"/>
      <c r="R140" s="1"/>
      <c r="S140" s="1"/>
      <c r="T140" s="9"/>
      <c r="U140" s="8"/>
      <c r="V140" s="1"/>
      <c r="W140" s="1"/>
      <c r="Z140" s="8"/>
      <c r="AA140" s="4"/>
    </row>
    <row r="141" spans="1:28" hidden="1">
      <c r="A141" s="45" t="str">
        <f t="shared" si="13"/>
        <v/>
      </c>
      <c r="B141" s="45"/>
      <c r="C141" s="1" t="str">
        <f t="shared" si="24"/>
        <v>NIE</v>
      </c>
      <c r="L141" s="8"/>
      <c r="M141"/>
      <c r="N141"/>
      <c r="O141"/>
      <c r="P141" s="1"/>
      <c r="Q141" s="1"/>
      <c r="R141" s="1"/>
      <c r="S141" s="1"/>
      <c r="T141" s="9"/>
      <c r="U141" s="8"/>
      <c r="V141" s="1"/>
      <c r="W141" s="1"/>
      <c r="AA141" s="4"/>
      <c r="AB141" s="13"/>
    </row>
    <row r="142" spans="1:28" hidden="1">
      <c r="A142" s="45" t="str">
        <f t="shared" si="13"/>
        <v/>
      </c>
      <c r="B142" s="45"/>
      <c r="C142" s="1" t="str">
        <f t="shared" si="24"/>
        <v>NIE</v>
      </c>
      <c r="H142" s="54"/>
      <c r="I142" s="55"/>
      <c r="L142" s="8"/>
      <c r="M142"/>
      <c r="N142"/>
      <c r="O142"/>
      <c r="P142" s="1"/>
      <c r="Q142" s="1"/>
      <c r="R142" s="1"/>
      <c r="S142" s="1"/>
      <c r="T142" s="9"/>
      <c r="U142" s="8"/>
      <c r="V142" s="1"/>
      <c r="W142" s="1"/>
      <c r="AA142" s="4"/>
      <c r="AB142" s="13"/>
    </row>
    <row r="143" spans="1:28" hidden="1">
      <c r="A143" s="45" t="str">
        <f t="shared" si="13"/>
        <v/>
      </c>
      <c r="B143" s="45"/>
      <c r="C143" s="1" t="str">
        <f t="shared" si="24"/>
        <v>NIE</v>
      </c>
      <c r="L143" s="8"/>
      <c r="M143"/>
      <c r="N143"/>
      <c r="O143"/>
      <c r="P143" s="1"/>
      <c r="Q143" s="1"/>
      <c r="R143" s="1"/>
      <c r="S143" s="1"/>
      <c r="T143" s="9"/>
      <c r="U143" s="8"/>
      <c r="V143" s="1"/>
      <c r="W143" s="1"/>
      <c r="AA143" s="4"/>
      <c r="AB143" s="4"/>
    </row>
    <row r="144" spans="1:28" hidden="1">
      <c r="A144" s="45" t="str">
        <f t="shared" si="13"/>
        <v/>
      </c>
      <c r="B144" s="45"/>
      <c r="C144" s="1" t="str">
        <f t="shared" si="24"/>
        <v>NIE</v>
      </c>
      <c r="M144"/>
      <c r="N144"/>
      <c r="O144"/>
      <c r="P144" s="1"/>
      <c r="Q144" s="1"/>
      <c r="R144" s="1"/>
      <c r="S144" s="1"/>
      <c r="T144" s="9"/>
      <c r="U144" s="8"/>
      <c r="V144" s="1"/>
      <c r="W144" s="1"/>
    </row>
    <row r="145" spans="1:23" hidden="1">
      <c r="A145" s="45" t="str">
        <f t="shared" si="13"/>
        <v/>
      </c>
      <c r="B145" s="45"/>
      <c r="C145" s="1" t="str">
        <f t="shared" si="24"/>
        <v>NIE</v>
      </c>
      <c r="M145"/>
      <c r="N145"/>
      <c r="O145"/>
      <c r="P145" s="1"/>
      <c r="Q145" s="1"/>
      <c r="R145" s="1"/>
      <c r="S145" s="1"/>
      <c r="T145" s="9"/>
      <c r="U145" s="8"/>
      <c r="V145" s="1"/>
      <c r="W145" s="1"/>
    </row>
    <row r="146" spans="1:23" hidden="1">
      <c r="A146" s="45" t="str">
        <f t="shared" si="13"/>
        <v/>
      </c>
      <c r="B146" s="45"/>
      <c r="C146" s="1" t="str">
        <f t="shared" si="24"/>
        <v>NIE</v>
      </c>
      <c r="M146"/>
      <c r="N146"/>
      <c r="O146"/>
      <c r="P146" s="1"/>
      <c r="Q146" s="1"/>
      <c r="R146" s="1"/>
      <c r="S146" s="1"/>
      <c r="T146" s="9"/>
      <c r="U146" s="8"/>
      <c r="V146" s="1"/>
      <c r="W146" s="1"/>
    </row>
    <row r="147" spans="1:23" hidden="1">
      <c r="A147" s="45" t="str">
        <f t="shared" si="13"/>
        <v/>
      </c>
      <c r="B147" s="45"/>
      <c r="C147" s="1" t="str">
        <f t="shared" si="24"/>
        <v>NIE</v>
      </c>
      <c r="M147"/>
      <c r="N147"/>
      <c r="O147"/>
      <c r="P147" s="1"/>
      <c r="Q147" s="1"/>
      <c r="R147" s="1"/>
      <c r="S147" s="1"/>
      <c r="T147" s="9"/>
      <c r="U147" s="8"/>
      <c r="V147" s="1"/>
      <c r="W147" s="1"/>
    </row>
    <row r="148" spans="1:23" hidden="1">
      <c r="A148" s="45" t="str">
        <f t="shared" si="13"/>
        <v/>
      </c>
      <c r="B148" s="45"/>
      <c r="C148" s="1" t="str">
        <f t="shared" si="24"/>
        <v>NIE</v>
      </c>
      <c r="M148"/>
      <c r="N148"/>
      <c r="O148"/>
      <c r="P148" s="1"/>
      <c r="Q148" s="1"/>
      <c r="R148" s="1"/>
      <c r="S148" s="1"/>
      <c r="T148" s="9"/>
      <c r="U148" s="8"/>
      <c r="V148" s="1"/>
      <c r="W148" s="1"/>
    </row>
    <row r="149" spans="1:23" hidden="1">
      <c r="A149" s="45" t="str">
        <f t="shared" si="13"/>
        <v/>
      </c>
      <c r="B149" s="45"/>
      <c r="C149" s="1" t="str">
        <f t="shared" si="24"/>
        <v>NIE</v>
      </c>
      <c r="M149"/>
      <c r="N149"/>
      <c r="O149"/>
      <c r="P149" s="1"/>
      <c r="Q149" s="1"/>
      <c r="R149" s="1"/>
      <c r="S149" s="1"/>
      <c r="T149" s="9"/>
      <c r="U149" s="8"/>
      <c r="V149" s="1"/>
      <c r="W149" s="1"/>
    </row>
    <row r="150" spans="1:23" hidden="1">
      <c r="A150" s="45" t="str">
        <f t="shared" si="13"/>
        <v/>
      </c>
      <c r="B150" s="45"/>
      <c r="C150" s="1" t="str">
        <f t="shared" si="24"/>
        <v>NIE</v>
      </c>
      <c r="L150" s="8"/>
      <c r="M150"/>
      <c r="N150"/>
      <c r="O150"/>
      <c r="P150" s="1"/>
      <c r="Q150" s="1"/>
      <c r="R150" s="1"/>
      <c r="S150" s="1"/>
      <c r="T150" s="9"/>
      <c r="U150" s="8"/>
      <c r="V150" s="1"/>
      <c r="W150" s="1"/>
    </row>
    <row r="151" spans="1:23" hidden="1">
      <c r="A151" s="45" t="str">
        <f t="shared" si="13"/>
        <v/>
      </c>
      <c r="B151" s="45"/>
      <c r="C151" s="1" t="str">
        <f t="shared" si="24"/>
        <v>NIE</v>
      </c>
      <c r="L151" s="8"/>
      <c r="M151"/>
      <c r="N151"/>
      <c r="O151"/>
      <c r="P151" s="1"/>
      <c r="Q151" s="1"/>
      <c r="R151" s="1"/>
      <c r="S151" s="1"/>
      <c r="T151" s="9"/>
      <c r="U151" s="8"/>
      <c r="V151" s="1"/>
      <c r="W151" s="1"/>
    </row>
    <row r="152" spans="1:23" hidden="1">
      <c r="A152" s="45" t="str">
        <f t="shared" si="13"/>
        <v/>
      </c>
      <c r="B152" s="45"/>
      <c r="C152" s="1" t="str">
        <f t="shared" si="24"/>
        <v>NIE</v>
      </c>
      <c r="L152" s="8"/>
      <c r="M152"/>
      <c r="N152"/>
      <c r="O152"/>
      <c r="P152" s="1"/>
      <c r="Q152" s="1"/>
      <c r="R152" s="1"/>
      <c r="S152" s="1"/>
      <c r="T152" s="9"/>
      <c r="U152" s="8"/>
      <c r="V152" s="1"/>
      <c r="W152" s="1"/>
    </row>
    <row r="153" spans="1:23" hidden="1">
      <c r="A153" s="45" t="str">
        <f t="shared" si="13"/>
        <v/>
      </c>
      <c r="B153" s="45"/>
      <c r="C153" s="1" t="str">
        <f t="shared" si="24"/>
        <v>NIE</v>
      </c>
      <c r="L153" s="8"/>
      <c r="M153"/>
      <c r="N153"/>
      <c r="O153"/>
      <c r="P153" s="1"/>
      <c r="Q153" s="1"/>
      <c r="R153" s="1"/>
      <c r="S153" s="1"/>
      <c r="T153" s="9"/>
      <c r="U153" s="8"/>
      <c r="V153" s="1"/>
      <c r="W153" s="1"/>
    </row>
    <row r="154" spans="1:23" hidden="1">
      <c r="A154" s="45" t="str">
        <f t="shared" ref="A154:A190" si="25">RIGHT(G154,1)</f>
        <v/>
      </c>
      <c r="B154" s="45"/>
      <c r="C154" s="1" t="str">
        <f t="shared" si="24"/>
        <v>NIE</v>
      </c>
      <c r="L154" s="8"/>
      <c r="M154"/>
      <c r="N154"/>
      <c r="O154"/>
      <c r="P154" s="1"/>
      <c r="Q154" s="1"/>
      <c r="R154" s="1"/>
      <c r="S154" s="1"/>
      <c r="T154" s="9"/>
      <c r="U154" s="8"/>
      <c r="V154" s="1"/>
      <c r="W154" s="1"/>
    </row>
    <row r="155" spans="1:23" hidden="1">
      <c r="A155" s="45" t="str">
        <f t="shared" si="25"/>
        <v/>
      </c>
      <c r="B155" s="45"/>
      <c r="C155" s="1" t="str">
        <f t="shared" si="24"/>
        <v>NIE</v>
      </c>
      <c r="L155" s="8"/>
      <c r="M155"/>
      <c r="N155"/>
      <c r="O155"/>
      <c r="P155" s="1"/>
      <c r="Q155" s="1"/>
      <c r="R155" s="1"/>
      <c r="S155" s="1"/>
      <c r="T155" s="9"/>
      <c r="U155" s="8"/>
      <c r="V155" s="1"/>
      <c r="W155" s="1"/>
    </row>
    <row r="156" spans="1:23" hidden="1">
      <c r="A156" s="45" t="str">
        <f t="shared" si="25"/>
        <v/>
      </c>
      <c r="B156" s="45"/>
      <c r="C156" s="1" t="str">
        <f t="shared" si="24"/>
        <v>NIE</v>
      </c>
      <c r="L156" s="8"/>
      <c r="M156"/>
      <c r="N156"/>
      <c r="O156"/>
      <c r="P156" s="1"/>
      <c r="Q156" s="1"/>
      <c r="R156" s="1"/>
      <c r="S156" s="1"/>
      <c r="T156" s="9"/>
      <c r="U156" s="8"/>
      <c r="V156" s="1"/>
      <c r="W156" s="1"/>
    </row>
    <row r="157" spans="1:23" hidden="1">
      <c r="A157" s="45" t="str">
        <f t="shared" si="25"/>
        <v/>
      </c>
      <c r="B157" s="45"/>
      <c r="C157" s="1" t="str">
        <f t="shared" si="24"/>
        <v>NIE</v>
      </c>
      <c r="L157" s="8"/>
      <c r="M157"/>
      <c r="N157"/>
      <c r="O157"/>
      <c r="P157" s="1"/>
      <c r="Q157" s="1"/>
      <c r="R157" s="1"/>
      <c r="S157" s="1"/>
      <c r="T157" s="9"/>
      <c r="U157" s="8"/>
      <c r="V157" s="1"/>
      <c r="W157" s="1"/>
    </row>
    <row r="158" spans="1:23" hidden="1">
      <c r="A158" s="45" t="str">
        <f t="shared" si="25"/>
        <v/>
      </c>
      <c r="B158" s="45"/>
      <c r="C158" s="1" t="str">
        <f t="shared" si="24"/>
        <v>NIE</v>
      </c>
      <c r="L158" s="8"/>
      <c r="M158"/>
      <c r="N158"/>
      <c r="O158"/>
      <c r="P158" s="1"/>
      <c r="Q158" s="1"/>
      <c r="R158" s="1"/>
      <c r="S158" s="1"/>
      <c r="T158" s="9"/>
      <c r="U158" s="8"/>
      <c r="V158" s="1"/>
      <c r="W158" s="1"/>
    </row>
    <row r="159" spans="1:23" hidden="1">
      <c r="A159" s="45" t="str">
        <f t="shared" si="25"/>
        <v/>
      </c>
      <c r="B159" s="45"/>
      <c r="C159" s="1" t="str">
        <f t="shared" si="24"/>
        <v>NIE</v>
      </c>
      <c r="L159" s="8"/>
      <c r="M159"/>
      <c r="N159"/>
      <c r="O159"/>
      <c r="P159" s="1"/>
      <c r="Q159" s="1"/>
      <c r="R159" s="1"/>
      <c r="S159" s="1"/>
      <c r="T159" s="9"/>
      <c r="U159" s="8"/>
      <c r="V159" s="1"/>
      <c r="W159" s="1"/>
    </row>
    <row r="160" spans="1:23" hidden="1">
      <c r="A160" s="45" t="str">
        <f t="shared" si="25"/>
        <v/>
      </c>
      <c r="B160" s="45"/>
      <c r="C160" s="1" t="str">
        <f t="shared" ref="C160:C194" si="26">IF(I160&gt;0,"TAK",IF(L160&lt;0,"TAK","NIE"))</f>
        <v>NIE</v>
      </c>
      <c r="L160" s="8"/>
      <c r="M160"/>
      <c r="N160"/>
      <c r="O160"/>
      <c r="P160" s="1"/>
      <c r="Q160" s="1"/>
      <c r="R160" s="1"/>
      <c r="S160" s="1"/>
      <c r="T160" s="9"/>
      <c r="U160" s="8"/>
      <c r="V160" s="1"/>
      <c r="W160" s="1"/>
    </row>
    <row r="161" spans="1:23" hidden="1">
      <c r="A161" s="45" t="str">
        <f t="shared" si="25"/>
        <v/>
      </c>
      <c r="B161" s="45"/>
      <c r="C161" s="1" t="str">
        <f t="shared" si="26"/>
        <v>NIE</v>
      </c>
      <c r="L161" s="8"/>
      <c r="M161"/>
      <c r="N161"/>
      <c r="O161"/>
      <c r="P161" s="1"/>
      <c r="Q161" s="1"/>
      <c r="R161" s="1"/>
      <c r="S161" s="1"/>
      <c r="T161" s="9"/>
      <c r="U161" s="8"/>
      <c r="V161" s="1"/>
      <c r="W161" s="1"/>
    </row>
    <row r="162" spans="1:23" hidden="1">
      <c r="A162" s="45" t="str">
        <f t="shared" si="25"/>
        <v/>
      </c>
      <c r="B162" s="45"/>
      <c r="C162" s="1" t="str">
        <f t="shared" si="26"/>
        <v>NIE</v>
      </c>
      <c r="L162" s="8"/>
      <c r="M162"/>
      <c r="N162"/>
      <c r="O162"/>
      <c r="P162" s="1"/>
      <c r="Q162" s="1"/>
      <c r="R162" s="1"/>
      <c r="S162" s="1"/>
      <c r="T162" s="9"/>
      <c r="U162" s="8"/>
      <c r="V162" s="1"/>
      <c r="W162" s="1"/>
    </row>
    <row r="163" spans="1:23" hidden="1">
      <c r="A163" s="45" t="str">
        <f t="shared" si="25"/>
        <v/>
      </c>
      <c r="B163" s="45"/>
      <c r="C163" s="1" t="str">
        <f t="shared" si="26"/>
        <v>NIE</v>
      </c>
      <c r="L163" s="8"/>
      <c r="M163"/>
      <c r="N163"/>
      <c r="O163"/>
      <c r="P163" s="1"/>
      <c r="Q163" s="1"/>
      <c r="R163" s="1"/>
      <c r="S163" s="1"/>
      <c r="T163" s="9"/>
      <c r="U163" s="8"/>
      <c r="V163" s="1"/>
      <c r="W163" s="1"/>
    </row>
    <row r="164" spans="1:23" hidden="1">
      <c r="A164" s="45" t="str">
        <f t="shared" si="25"/>
        <v/>
      </c>
      <c r="B164" s="45"/>
      <c r="C164" s="1" t="str">
        <f t="shared" si="26"/>
        <v>NIE</v>
      </c>
      <c r="L164" s="8"/>
      <c r="M164"/>
      <c r="N164"/>
      <c r="O164"/>
      <c r="P164" s="1"/>
      <c r="Q164" s="1"/>
      <c r="R164" s="1"/>
      <c r="S164" s="1"/>
      <c r="T164" s="9"/>
      <c r="U164" s="8"/>
      <c r="V164" s="1"/>
      <c r="W164" s="1"/>
    </row>
    <row r="165" spans="1:23" hidden="1">
      <c r="A165" s="45" t="str">
        <f t="shared" si="25"/>
        <v/>
      </c>
      <c r="B165" s="45"/>
      <c r="C165" s="1" t="str">
        <f t="shared" si="26"/>
        <v>NIE</v>
      </c>
      <c r="L165" s="8"/>
      <c r="M165"/>
      <c r="N165"/>
      <c r="O165"/>
      <c r="P165" s="1"/>
      <c r="Q165" s="1"/>
      <c r="R165" s="1"/>
      <c r="S165" s="1"/>
      <c r="T165" s="9"/>
      <c r="U165" s="8"/>
      <c r="V165" s="1"/>
      <c r="W165" s="1"/>
    </row>
    <row r="166" spans="1:23" hidden="1">
      <c r="A166" s="45" t="str">
        <f t="shared" si="25"/>
        <v/>
      </c>
      <c r="B166" s="45"/>
      <c r="C166" s="1" t="str">
        <f t="shared" si="26"/>
        <v>NIE</v>
      </c>
      <c r="L166" s="8"/>
      <c r="M166"/>
      <c r="N166"/>
      <c r="O166"/>
      <c r="P166" s="1"/>
      <c r="Q166" s="1"/>
      <c r="R166" s="1"/>
      <c r="S166" s="1"/>
      <c r="T166" s="9"/>
      <c r="U166" s="8"/>
      <c r="V166" s="1"/>
      <c r="W166" s="1"/>
    </row>
    <row r="167" spans="1:23" hidden="1">
      <c r="A167" s="45" t="str">
        <f t="shared" si="25"/>
        <v/>
      </c>
      <c r="B167" s="45"/>
      <c r="C167" s="1" t="str">
        <f t="shared" si="26"/>
        <v>NIE</v>
      </c>
      <c r="L167" s="8"/>
      <c r="M167"/>
      <c r="N167"/>
      <c r="O167"/>
      <c r="P167" s="1"/>
      <c r="Q167" s="1"/>
      <c r="R167" s="1"/>
      <c r="S167" s="1"/>
      <c r="T167" s="9"/>
      <c r="U167" s="8"/>
      <c r="V167" s="1"/>
      <c r="W167" s="1"/>
    </row>
    <row r="168" spans="1:23" hidden="1">
      <c r="A168" s="45" t="str">
        <f t="shared" si="25"/>
        <v/>
      </c>
      <c r="B168" s="45"/>
      <c r="C168" s="1" t="str">
        <f t="shared" si="26"/>
        <v>NIE</v>
      </c>
      <c r="L168" s="8"/>
      <c r="M168"/>
      <c r="N168"/>
      <c r="O168"/>
      <c r="P168" s="1"/>
      <c r="Q168" s="1"/>
      <c r="R168" s="1"/>
      <c r="S168" s="1"/>
      <c r="T168" s="9"/>
      <c r="U168" s="8"/>
      <c r="V168" s="1"/>
      <c r="W168" s="1"/>
    </row>
    <row r="169" spans="1:23" hidden="1">
      <c r="A169" s="45" t="str">
        <f t="shared" si="25"/>
        <v/>
      </c>
      <c r="B169" s="45"/>
      <c r="C169" s="1" t="str">
        <f t="shared" si="26"/>
        <v>NIE</v>
      </c>
      <c r="L169" s="8"/>
      <c r="M169"/>
      <c r="N169"/>
      <c r="O169"/>
      <c r="P169" s="1"/>
      <c r="Q169" s="1"/>
      <c r="R169" s="1"/>
      <c r="S169" s="1"/>
      <c r="T169" s="9"/>
      <c r="U169" s="8"/>
      <c r="V169" s="1"/>
      <c r="W169" s="1"/>
    </row>
    <row r="170" spans="1:23" hidden="1">
      <c r="A170" s="45" t="str">
        <f t="shared" si="25"/>
        <v/>
      </c>
      <c r="B170" s="45"/>
      <c r="C170" s="1" t="str">
        <f t="shared" si="26"/>
        <v>NIE</v>
      </c>
      <c r="L170" s="8"/>
      <c r="M170"/>
      <c r="N170"/>
      <c r="O170"/>
      <c r="P170" s="1"/>
      <c r="Q170" s="1"/>
      <c r="R170" s="1"/>
      <c r="S170" s="1"/>
      <c r="T170" s="9"/>
      <c r="U170" s="8"/>
      <c r="V170" s="1"/>
      <c r="W170" s="1"/>
    </row>
    <row r="171" spans="1:23" hidden="1">
      <c r="A171" s="45" t="str">
        <f t="shared" si="25"/>
        <v/>
      </c>
      <c r="B171" s="45"/>
      <c r="C171" s="1" t="str">
        <f t="shared" si="26"/>
        <v>NIE</v>
      </c>
      <c r="L171" s="8"/>
      <c r="M171"/>
      <c r="N171"/>
      <c r="O171"/>
      <c r="P171" s="1"/>
      <c r="Q171" s="1"/>
      <c r="R171" s="1"/>
      <c r="S171" s="1"/>
      <c r="T171" s="9"/>
      <c r="U171" s="8"/>
      <c r="V171" s="1"/>
      <c r="W171" s="1"/>
    </row>
    <row r="172" spans="1:23" hidden="1">
      <c r="A172" s="45" t="str">
        <f t="shared" si="25"/>
        <v/>
      </c>
      <c r="B172" s="45"/>
      <c r="C172" s="1" t="str">
        <f t="shared" si="26"/>
        <v>NIE</v>
      </c>
      <c r="M172"/>
      <c r="N172"/>
      <c r="O172"/>
      <c r="P172" s="1"/>
      <c r="Q172" s="1"/>
      <c r="R172" s="1"/>
      <c r="S172" s="1"/>
      <c r="T172" s="9"/>
      <c r="U172" s="8"/>
      <c r="V172" s="1"/>
      <c r="W172" s="1"/>
    </row>
    <row r="173" spans="1:23" hidden="1">
      <c r="A173" s="45" t="str">
        <f t="shared" si="25"/>
        <v/>
      </c>
      <c r="B173" s="45"/>
      <c r="C173" s="1" t="str">
        <f t="shared" si="26"/>
        <v>NIE</v>
      </c>
      <c r="M173"/>
      <c r="N173"/>
      <c r="O173"/>
      <c r="P173" s="1"/>
      <c r="Q173" s="1"/>
      <c r="R173" s="1"/>
      <c r="S173" s="1"/>
      <c r="T173" s="9"/>
      <c r="U173" s="8"/>
      <c r="V173" s="1"/>
      <c r="W173" s="1"/>
    </row>
    <row r="174" spans="1:23" hidden="1">
      <c r="A174" s="45" t="str">
        <f t="shared" si="25"/>
        <v/>
      </c>
      <c r="B174" s="45"/>
      <c r="C174" s="1" t="str">
        <f t="shared" si="26"/>
        <v>NIE</v>
      </c>
      <c r="M174"/>
      <c r="N174"/>
      <c r="O174"/>
      <c r="P174" s="1"/>
      <c r="Q174" s="1"/>
      <c r="R174" s="1"/>
      <c r="S174" s="1"/>
      <c r="T174" s="9"/>
      <c r="U174" s="8"/>
      <c r="V174" s="1"/>
      <c r="W174" s="1"/>
    </row>
    <row r="175" spans="1:23" hidden="1">
      <c r="A175" s="45" t="str">
        <f t="shared" si="25"/>
        <v/>
      </c>
      <c r="B175" s="45"/>
      <c r="C175" s="1" t="str">
        <f t="shared" si="26"/>
        <v>NIE</v>
      </c>
      <c r="M175"/>
      <c r="N175"/>
      <c r="O175"/>
      <c r="P175" s="1"/>
      <c r="Q175" s="1"/>
      <c r="R175" s="1"/>
      <c r="S175" s="1"/>
      <c r="T175" s="9"/>
      <c r="U175" s="8"/>
      <c r="V175" s="1"/>
      <c r="W175" s="1"/>
    </row>
    <row r="176" spans="1:23" hidden="1">
      <c r="A176" s="45" t="str">
        <f t="shared" si="25"/>
        <v/>
      </c>
      <c r="B176" s="45"/>
      <c r="C176" s="1" t="str">
        <f t="shared" si="26"/>
        <v>NIE</v>
      </c>
      <c r="M176"/>
      <c r="N176"/>
      <c r="O176"/>
      <c r="P176" s="1"/>
      <c r="Q176" s="1"/>
      <c r="R176" s="1"/>
      <c r="S176" s="1"/>
      <c r="T176" s="9"/>
      <c r="U176" s="8"/>
      <c r="V176" s="1"/>
      <c r="W176" s="1"/>
    </row>
    <row r="177" spans="1:23" hidden="1">
      <c r="A177" s="45" t="str">
        <f t="shared" si="25"/>
        <v/>
      </c>
      <c r="B177" s="45"/>
      <c r="C177" s="1" t="str">
        <f t="shared" si="26"/>
        <v>NIE</v>
      </c>
      <c r="M177"/>
      <c r="N177"/>
      <c r="O177"/>
      <c r="P177" s="1"/>
      <c r="Q177" s="1"/>
      <c r="R177" s="1"/>
      <c r="S177" s="1"/>
      <c r="T177" s="9"/>
      <c r="U177" s="8"/>
      <c r="V177" s="1"/>
      <c r="W177" s="1"/>
    </row>
    <row r="178" spans="1:23" hidden="1">
      <c r="A178" s="45" t="str">
        <f t="shared" si="25"/>
        <v/>
      </c>
      <c r="B178" s="45"/>
      <c r="C178" s="1" t="str">
        <f t="shared" si="26"/>
        <v>NIE</v>
      </c>
      <c r="M178"/>
      <c r="N178"/>
      <c r="O178"/>
      <c r="P178" s="1"/>
      <c r="Q178" s="1"/>
      <c r="R178" s="1"/>
      <c r="S178" s="1"/>
      <c r="T178" s="9"/>
      <c r="U178" s="8"/>
      <c r="V178" s="1"/>
      <c r="W178" s="1"/>
    </row>
    <row r="179" spans="1:23" hidden="1">
      <c r="A179" s="45" t="str">
        <f t="shared" si="25"/>
        <v/>
      </c>
      <c r="B179" s="45"/>
      <c r="C179" s="1" t="str">
        <f t="shared" si="26"/>
        <v>NIE</v>
      </c>
      <c r="M179"/>
      <c r="N179"/>
      <c r="O179"/>
      <c r="P179" s="1"/>
      <c r="Q179" s="1"/>
      <c r="R179" s="1"/>
      <c r="S179" s="1"/>
      <c r="T179" s="9"/>
      <c r="U179" s="8"/>
      <c r="V179" s="1"/>
      <c r="W179" s="1"/>
    </row>
    <row r="180" spans="1:23" hidden="1">
      <c r="A180" s="45" t="str">
        <f t="shared" si="25"/>
        <v/>
      </c>
      <c r="B180" s="45"/>
      <c r="C180" s="1" t="str">
        <f t="shared" si="26"/>
        <v>NIE</v>
      </c>
      <c r="M180"/>
      <c r="N180"/>
      <c r="O180"/>
      <c r="P180" s="1"/>
      <c r="Q180" s="1"/>
      <c r="R180" s="1"/>
      <c r="S180" s="1"/>
      <c r="T180" s="9"/>
      <c r="U180" s="8"/>
      <c r="V180" s="1"/>
      <c r="W180" s="1"/>
    </row>
    <row r="181" spans="1:23" hidden="1">
      <c r="A181" s="45" t="str">
        <f t="shared" si="25"/>
        <v/>
      </c>
      <c r="B181" s="45"/>
      <c r="C181" s="1" t="str">
        <f t="shared" si="26"/>
        <v>NIE</v>
      </c>
      <c r="M181"/>
      <c r="N181"/>
      <c r="O181"/>
      <c r="P181" s="1"/>
      <c r="Q181" s="1"/>
      <c r="R181" s="1"/>
      <c r="S181" s="1"/>
      <c r="T181" s="9"/>
      <c r="U181" s="8"/>
      <c r="V181" s="1"/>
      <c r="W181" s="1"/>
    </row>
    <row r="182" spans="1:23" hidden="1">
      <c r="A182" s="45" t="str">
        <f t="shared" si="25"/>
        <v/>
      </c>
      <c r="B182" s="45"/>
      <c r="C182" s="1" t="str">
        <f t="shared" si="26"/>
        <v>NIE</v>
      </c>
      <c r="M182"/>
      <c r="N182"/>
      <c r="O182"/>
      <c r="P182" s="1"/>
      <c r="Q182" s="1"/>
      <c r="R182" s="1"/>
      <c r="S182" s="1"/>
      <c r="T182" s="9"/>
      <c r="U182" s="8"/>
      <c r="V182" s="1"/>
      <c r="W182" s="1"/>
    </row>
    <row r="183" spans="1:23" hidden="1">
      <c r="A183" s="45" t="str">
        <f t="shared" si="25"/>
        <v/>
      </c>
      <c r="B183" s="45"/>
      <c r="C183" s="1" t="str">
        <f t="shared" si="26"/>
        <v>NIE</v>
      </c>
      <c r="M183"/>
      <c r="N183"/>
      <c r="O183"/>
      <c r="P183" s="1"/>
      <c r="Q183" s="1"/>
      <c r="R183" s="1"/>
      <c r="S183" s="1"/>
      <c r="T183" s="9"/>
      <c r="U183" s="8"/>
      <c r="V183" s="1"/>
      <c r="W183" s="1"/>
    </row>
    <row r="184" spans="1:23" hidden="1">
      <c r="A184" s="45" t="str">
        <f t="shared" si="25"/>
        <v/>
      </c>
      <c r="B184" s="45"/>
      <c r="C184" s="1" t="str">
        <f t="shared" si="26"/>
        <v>NIE</v>
      </c>
      <c r="M184"/>
      <c r="N184"/>
      <c r="O184"/>
      <c r="P184" s="1"/>
      <c r="Q184" s="1"/>
      <c r="R184" s="1"/>
      <c r="S184" s="1"/>
      <c r="T184" s="9"/>
      <c r="U184" s="8"/>
      <c r="V184" s="1"/>
      <c r="W184" s="1"/>
    </row>
    <row r="185" spans="1:23" hidden="1">
      <c r="A185" s="45" t="str">
        <f t="shared" si="25"/>
        <v/>
      </c>
      <c r="B185" s="45"/>
      <c r="C185" s="1" t="str">
        <f t="shared" si="26"/>
        <v>NIE</v>
      </c>
      <c r="M185"/>
      <c r="N185"/>
      <c r="O185"/>
      <c r="P185" s="1"/>
      <c r="Q185" s="1"/>
      <c r="R185" s="1"/>
      <c r="S185" s="1"/>
      <c r="T185" s="9"/>
      <c r="U185" s="8"/>
      <c r="V185" s="1"/>
      <c r="W185" s="1"/>
    </row>
    <row r="186" spans="1:23" hidden="1">
      <c r="A186" s="45" t="str">
        <f t="shared" si="25"/>
        <v/>
      </c>
      <c r="B186" s="45"/>
      <c r="C186" s="1" t="str">
        <f t="shared" si="26"/>
        <v>NIE</v>
      </c>
      <c r="M186"/>
      <c r="N186"/>
      <c r="O186"/>
      <c r="P186" s="1"/>
      <c r="Q186" s="1"/>
      <c r="R186" s="1"/>
      <c r="S186" s="1"/>
      <c r="T186" s="9"/>
      <c r="U186" s="8"/>
      <c r="V186" s="1"/>
      <c r="W186" s="1"/>
    </row>
    <row r="187" spans="1:23" hidden="1">
      <c r="A187" s="45" t="str">
        <f t="shared" si="25"/>
        <v/>
      </c>
      <c r="B187" s="45"/>
      <c r="C187" s="1" t="str">
        <f t="shared" si="26"/>
        <v>NIE</v>
      </c>
      <c r="M187"/>
      <c r="N187"/>
      <c r="O187"/>
      <c r="P187" s="1"/>
      <c r="Q187" s="1"/>
      <c r="R187" s="1"/>
      <c r="S187" s="1"/>
      <c r="T187" s="9"/>
      <c r="U187" s="8"/>
      <c r="V187" s="1"/>
      <c r="W187" s="1"/>
    </row>
    <row r="188" spans="1:23" hidden="1">
      <c r="A188" s="45" t="str">
        <f t="shared" si="25"/>
        <v/>
      </c>
      <c r="B188" s="45"/>
      <c r="C188" s="1" t="str">
        <f t="shared" si="26"/>
        <v>NIE</v>
      </c>
      <c r="M188"/>
      <c r="N188"/>
      <c r="O188"/>
      <c r="P188" s="1"/>
      <c r="Q188" s="1"/>
      <c r="R188" s="1"/>
      <c r="S188" s="1"/>
      <c r="T188" s="1"/>
      <c r="U188" s="8"/>
      <c r="V188" s="1"/>
      <c r="W188" s="1"/>
    </row>
    <row r="189" spans="1:23" hidden="1">
      <c r="A189" s="45" t="str">
        <f t="shared" si="25"/>
        <v/>
      </c>
      <c r="B189" s="45"/>
      <c r="C189" s="1" t="str">
        <f t="shared" si="26"/>
        <v>NIE</v>
      </c>
      <c r="M189"/>
      <c r="N189"/>
      <c r="O189"/>
      <c r="P189" s="1"/>
      <c r="Q189" s="1"/>
      <c r="R189" s="1"/>
      <c r="S189" s="1"/>
      <c r="T189" s="1"/>
      <c r="U189" s="8"/>
      <c r="V189" s="1"/>
      <c r="W189" s="1"/>
    </row>
    <row r="190" spans="1:23" hidden="1">
      <c r="A190" s="45" t="str">
        <f t="shared" si="25"/>
        <v/>
      </c>
      <c r="B190" s="45"/>
      <c r="C190" s="1" t="str">
        <f t="shared" si="26"/>
        <v>NIE</v>
      </c>
      <c r="M190"/>
      <c r="N190"/>
      <c r="O190"/>
      <c r="P190" s="1"/>
      <c r="Q190" s="1"/>
      <c r="R190" s="1"/>
      <c r="S190" s="1"/>
      <c r="T190" s="1"/>
      <c r="U190" s="8"/>
      <c r="V190" s="1"/>
      <c r="W190" s="1"/>
    </row>
    <row r="191" spans="1:23" hidden="1">
      <c r="A191" s="45" t="str">
        <f t="shared" ref="A191:A205" si="27">RIGHT(G191,1)</f>
        <v/>
      </c>
      <c r="B191" s="45"/>
      <c r="C191" s="1" t="str">
        <f t="shared" si="26"/>
        <v>NIE</v>
      </c>
      <c r="M191"/>
      <c r="N191"/>
      <c r="O191"/>
      <c r="P191" s="1"/>
      <c r="Q191" s="1"/>
      <c r="R191" s="1"/>
      <c r="S191" s="1"/>
      <c r="T191" s="1"/>
      <c r="U191" s="8"/>
      <c r="V191" s="1"/>
      <c r="W191" s="1"/>
    </row>
    <row r="192" spans="1:23" hidden="1">
      <c r="A192" s="45" t="str">
        <f t="shared" si="27"/>
        <v/>
      </c>
      <c r="B192" s="45"/>
      <c r="C192" s="1" t="str">
        <f t="shared" si="26"/>
        <v>NIE</v>
      </c>
      <c r="M192"/>
      <c r="N192"/>
      <c r="O192"/>
      <c r="P192" s="1"/>
      <c r="Q192" s="1"/>
      <c r="R192" s="1"/>
      <c r="S192" s="1"/>
      <c r="T192" s="1"/>
      <c r="U192" s="8"/>
      <c r="V192" s="1"/>
      <c r="W192" s="1"/>
    </row>
    <row r="193" spans="1:23" hidden="1">
      <c r="A193" s="45" t="str">
        <f t="shared" si="27"/>
        <v/>
      </c>
      <c r="B193" s="45"/>
      <c r="C193" s="1" t="str">
        <f t="shared" si="26"/>
        <v>NIE</v>
      </c>
      <c r="M193"/>
      <c r="N193"/>
      <c r="O193"/>
      <c r="P193" s="1"/>
      <c r="Q193" s="1"/>
      <c r="R193" s="1"/>
      <c r="S193" s="1"/>
      <c r="T193" s="1"/>
      <c r="U193" s="8"/>
      <c r="V193" s="1"/>
      <c r="W193" s="1"/>
    </row>
    <row r="194" spans="1:23" hidden="1">
      <c r="A194" s="45" t="str">
        <f t="shared" si="27"/>
        <v/>
      </c>
      <c r="B194" s="45"/>
      <c r="C194" s="1" t="str">
        <f t="shared" si="26"/>
        <v>NIE</v>
      </c>
      <c r="M194"/>
      <c r="N194"/>
      <c r="O194"/>
      <c r="P194" s="1"/>
      <c r="Q194" s="1"/>
      <c r="R194" s="1"/>
      <c r="S194" s="1"/>
      <c r="T194" s="1"/>
      <c r="U194" s="8"/>
      <c r="V194" s="1"/>
      <c r="W194" s="1"/>
    </row>
    <row r="195" spans="1:23" hidden="1">
      <c r="A195" s="45" t="str">
        <f t="shared" si="27"/>
        <v/>
      </c>
      <c r="B195" s="45"/>
      <c r="C195" s="1" t="str">
        <f t="shared" ref="C195:C212" si="28">IF(I196&gt;0,"TAK",IF(L196&lt;0,"TAK","NIE"))</f>
        <v>NIE</v>
      </c>
      <c r="M195"/>
      <c r="N195"/>
      <c r="O195"/>
      <c r="P195" s="1"/>
      <c r="Q195" s="1"/>
      <c r="R195" s="1"/>
      <c r="S195" s="1"/>
      <c r="T195" s="1"/>
      <c r="U195" s="8"/>
      <c r="V195" s="1"/>
      <c r="W195" s="1"/>
    </row>
    <row r="196" spans="1:23" hidden="1">
      <c r="A196" s="45" t="str">
        <f t="shared" si="27"/>
        <v/>
      </c>
      <c r="B196" s="45"/>
      <c r="C196" s="1" t="str">
        <f t="shared" si="28"/>
        <v>NIE</v>
      </c>
      <c r="M196"/>
      <c r="N196"/>
      <c r="O196"/>
      <c r="P196" s="1"/>
      <c r="Q196" s="1"/>
      <c r="R196" s="1"/>
      <c r="S196" s="1"/>
      <c r="T196" s="1"/>
      <c r="U196" s="8"/>
      <c r="V196" s="1"/>
      <c r="W196" s="1"/>
    </row>
    <row r="197" spans="1:23" hidden="1">
      <c r="A197" s="45" t="str">
        <f t="shared" si="27"/>
        <v/>
      </c>
      <c r="B197" s="45"/>
      <c r="C197" s="1" t="str">
        <f t="shared" si="28"/>
        <v>NIE</v>
      </c>
      <c r="M197"/>
      <c r="N197"/>
      <c r="O197"/>
      <c r="P197" s="1"/>
      <c r="Q197" s="1"/>
      <c r="R197" s="1"/>
      <c r="S197" s="1"/>
      <c r="T197" s="1"/>
      <c r="U197" s="8"/>
      <c r="V197" s="1"/>
      <c r="W197" s="1"/>
    </row>
    <row r="198" spans="1:23" hidden="1">
      <c r="A198" s="45" t="str">
        <f t="shared" si="27"/>
        <v/>
      </c>
      <c r="B198" s="45"/>
      <c r="C198" s="1" t="str">
        <f t="shared" si="28"/>
        <v>NIE</v>
      </c>
      <c r="M198"/>
      <c r="N198"/>
      <c r="O198"/>
      <c r="P198" s="1"/>
      <c r="Q198" s="1"/>
      <c r="R198" s="1"/>
      <c r="S198" s="1"/>
      <c r="T198" s="1"/>
      <c r="U198" s="8"/>
      <c r="V198" s="1"/>
      <c r="W198" s="1"/>
    </row>
    <row r="199" spans="1:23" hidden="1">
      <c r="A199" s="45" t="str">
        <f t="shared" si="27"/>
        <v/>
      </c>
      <c r="B199" s="45"/>
      <c r="C199" s="1" t="str">
        <f t="shared" si="28"/>
        <v>NIE</v>
      </c>
      <c r="M199"/>
      <c r="N199"/>
      <c r="O199"/>
      <c r="P199" s="1"/>
      <c r="Q199" s="1"/>
      <c r="R199" s="1"/>
      <c r="S199" s="1"/>
      <c r="T199" s="1"/>
      <c r="U199" s="8"/>
      <c r="V199" s="1"/>
      <c r="W199" s="1"/>
    </row>
    <row r="200" spans="1:23" hidden="1">
      <c r="A200" s="45" t="str">
        <f t="shared" si="27"/>
        <v/>
      </c>
      <c r="B200" s="45"/>
      <c r="C200" s="1" t="str">
        <f t="shared" si="28"/>
        <v>NIE</v>
      </c>
      <c r="M200"/>
      <c r="N200"/>
      <c r="O200"/>
      <c r="P200" s="1"/>
      <c r="Q200" s="1"/>
      <c r="R200" s="1"/>
      <c r="S200" s="1"/>
      <c r="T200" s="1"/>
      <c r="U200" s="8"/>
      <c r="V200" s="1"/>
      <c r="W200" s="1"/>
    </row>
    <row r="201" spans="1:23" hidden="1">
      <c r="A201" s="45" t="str">
        <f t="shared" si="27"/>
        <v/>
      </c>
      <c r="B201" s="45"/>
      <c r="C201" s="1" t="str">
        <f t="shared" si="28"/>
        <v>NIE</v>
      </c>
      <c r="M201"/>
      <c r="N201"/>
      <c r="O201"/>
      <c r="P201" s="1"/>
      <c r="Q201" s="1"/>
      <c r="R201" s="1"/>
      <c r="S201" s="1"/>
      <c r="T201" s="1"/>
      <c r="U201" s="8"/>
      <c r="V201" s="1"/>
      <c r="W201" s="1"/>
    </row>
    <row r="202" spans="1:23" hidden="1">
      <c r="A202" s="45" t="str">
        <f t="shared" si="27"/>
        <v/>
      </c>
      <c r="B202" s="45"/>
      <c r="C202" s="1" t="str">
        <f t="shared" si="28"/>
        <v>NIE</v>
      </c>
      <c r="M202"/>
      <c r="N202"/>
      <c r="O202"/>
      <c r="P202" s="1"/>
      <c r="Q202" s="1"/>
      <c r="R202" s="1"/>
      <c r="S202" s="1"/>
      <c r="T202" s="1"/>
      <c r="U202" s="8"/>
      <c r="V202" s="1"/>
      <c r="W202" s="1"/>
    </row>
    <row r="203" spans="1:23" hidden="1">
      <c r="A203" s="45" t="str">
        <f t="shared" si="27"/>
        <v/>
      </c>
      <c r="B203" s="45"/>
      <c r="C203" s="1" t="str">
        <f t="shared" si="28"/>
        <v>NIE</v>
      </c>
      <c r="M203"/>
      <c r="N203"/>
      <c r="O203"/>
      <c r="P203" s="1"/>
      <c r="Q203" s="1"/>
      <c r="R203" s="1"/>
      <c r="S203" s="1"/>
      <c r="T203" s="1"/>
      <c r="U203" s="8"/>
      <c r="V203" s="1"/>
      <c r="W203" s="1"/>
    </row>
    <row r="204" spans="1:23" hidden="1">
      <c r="A204" s="45" t="str">
        <f t="shared" si="27"/>
        <v/>
      </c>
      <c r="B204" s="45"/>
      <c r="C204" s="1" t="str">
        <f t="shared" si="28"/>
        <v>NIE</v>
      </c>
      <c r="M204"/>
      <c r="N204"/>
      <c r="O204"/>
      <c r="P204" s="1"/>
      <c r="Q204" s="1"/>
      <c r="R204" s="1"/>
      <c r="S204" s="1"/>
      <c r="T204" s="1"/>
      <c r="U204" s="8"/>
      <c r="V204" s="1"/>
      <c r="W204" s="1"/>
    </row>
    <row r="205" spans="1:23" hidden="1">
      <c r="A205" s="45" t="str">
        <f t="shared" si="27"/>
        <v/>
      </c>
      <c r="B205" s="45"/>
      <c r="C205" s="1" t="str">
        <f t="shared" si="28"/>
        <v>NIE</v>
      </c>
      <c r="M205"/>
      <c r="N205"/>
      <c r="O205"/>
      <c r="P205" s="1"/>
      <c r="Q205" s="1"/>
      <c r="R205" s="1"/>
      <c r="S205" s="1"/>
      <c r="T205" s="1"/>
      <c r="U205" s="8"/>
      <c r="V205" s="1"/>
      <c r="W205" s="1"/>
    </row>
    <row r="206" spans="1:23" hidden="1">
      <c r="A206" s="45" t="str">
        <f t="shared" ref="A206:A212" si="29">RIGHT(G207,1)</f>
        <v/>
      </c>
      <c r="B206" s="45"/>
      <c r="C206" s="1" t="str">
        <f t="shared" si="28"/>
        <v>NIE</v>
      </c>
      <c r="M206"/>
      <c r="N206"/>
      <c r="O206"/>
      <c r="P206" s="1"/>
      <c r="Q206" s="1"/>
      <c r="R206" s="1"/>
      <c r="S206" s="1"/>
      <c r="T206" s="1"/>
      <c r="U206" s="8"/>
      <c r="V206" s="1"/>
      <c r="W206" s="1"/>
    </row>
    <row r="207" spans="1:23" hidden="1">
      <c r="A207" s="45" t="str">
        <f t="shared" si="29"/>
        <v/>
      </c>
      <c r="B207" s="45"/>
      <c r="C207" s="1" t="str">
        <f t="shared" si="28"/>
        <v>NIE</v>
      </c>
      <c r="M207"/>
      <c r="N207"/>
      <c r="O207"/>
      <c r="P207" s="1"/>
      <c r="Q207" s="1"/>
      <c r="R207" s="1"/>
      <c r="S207" s="1"/>
      <c r="T207" s="1"/>
      <c r="U207" s="8"/>
      <c r="V207" s="1"/>
      <c r="W207" s="1"/>
    </row>
    <row r="208" spans="1:23" hidden="1">
      <c r="A208" s="45" t="str">
        <f t="shared" si="29"/>
        <v/>
      </c>
      <c r="B208" s="45"/>
      <c r="C208" s="1" t="str">
        <f t="shared" si="28"/>
        <v>NIE</v>
      </c>
      <c r="M208"/>
      <c r="N208"/>
      <c r="O208"/>
      <c r="P208" s="1"/>
      <c r="Q208" s="1"/>
      <c r="R208" s="1"/>
      <c r="S208" s="1"/>
      <c r="T208" s="1"/>
      <c r="U208" s="8"/>
      <c r="V208" s="1"/>
      <c r="W208" s="1"/>
    </row>
    <row r="209" spans="1:23" hidden="1">
      <c r="A209" s="45" t="str">
        <f t="shared" si="29"/>
        <v/>
      </c>
      <c r="B209" s="45"/>
      <c r="C209" s="1" t="str">
        <f t="shared" si="28"/>
        <v>NIE</v>
      </c>
      <c r="M209"/>
      <c r="N209"/>
      <c r="O209"/>
      <c r="P209" s="1"/>
      <c r="Q209" s="1"/>
      <c r="R209" s="1"/>
      <c r="S209" s="1"/>
      <c r="T209" s="1"/>
      <c r="U209" s="8"/>
      <c r="V209" s="1"/>
      <c r="W209" s="1"/>
    </row>
    <row r="210" spans="1:23" hidden="1">
      <c r="A210" s="45" t="str">
        <f t="shared" si="29"/>
        <v/>
      </c>
      <c r="B210" s="45"/>
      <c r="C210" s="1" t="str">
        <f t="shared" si="28"/>
        <v>NIE</v>
      </c>
      <c r="M210"/>
      <c r="N210"/>
      <c r="O210"/>
      <c r="P210" s="1"/>
      <c r="Q210" s="1"/>
      <c r="R210" s="1"/>
      <c r="S210" s="1"/>
      <c r="T210" s="1"/>
      <c r="U210" s="8"/>
      <c r="V210" s="1"/>
      <c r="W210" s="1"/>
    </row>
    <row r="211" spans="1:23" hidden="1">
      <c r="A211" s="45" t="str">
        <f t="shared" si="29"/>
        <v/>
      </c>
      <c r="B211" s="45"/>
      <c r="C211" s="1" t="str">
        <f t="shared" si="28"/>
        <v>NIE</v>
      </c>
      <c r="M211"/>
      <c r="N211"/>
      <c r="O211"/>
      <c r="P211" s="1"/>
      <c r="Q211" s="1"/>
      <c r="R211" s="1"/>
      <c r="S211" s="1"/>
      <c r="T211" s="1"/>
      <c r="U211" s="8"/>
      <c r="V211" s="1"/>
      <c r="W211" s="1"/>
    </row>
    <row r="212" spans="1:23" hidden="1">
      <c r="A212" s="45" t="str">
        <f t="shared" si="29"/>
        <v/>
      </c>
      <c r="B212" s="45"/>
      <c r="C212" s="1" t="str">
        <f t="shared" si="28"/>
        <v>NIE</v>
      </c>
      <c r="M212"/>
      <c r="N212"/>
      <c r="O212"/>
      <c r="P212" s="1"/>
      <c r="Q212" s="1"/>
      <c r="R212" s="1"/>
      <c r="S212" s="1"/>
      <c r="T212" s="1"/>
      <c r="U212" s="8"/>
      <c r="V212" s="1"/>
      <c r="W212" s="1"/>
    </row>
    <row r="213" spans="1:23" ht="6" hidden="1" customHeight="1">
      <c r="A213" s="45" t="e">
        <f>RIGHT(#REF!,1)</f>
        <v>#REF!</v>
      </c>
      <c r="B213" s="45"/>
      <c r="M213"/>
      <c r="N213"/>
      <c r="O213"/>
      <c r="P213" s="1"/>
      <c r="Q213" s="1"/>
      <c r="R213" s="1"/>
      <c r="S213" s="1"/>
      <c r="T213" s="1"/>
      <c r="U213" s="8"/>
      <c r="V213" s="1"/>
      <c r="W213" s="1"/>
    </row>
    <row r="215" spans="1:23">
      <c r="P215" s="45"/>
      <c r="Q215" s="1"/>
      <c r="R215" s="1"/>
      <c r="S215" s="1"/>
      <c r="U215" s="8"/>
      <c r="V215" s="1"/>
      <c r="W215" s="1"/>
    </row>
    <row r="216" spans="1:23">
      <c r="H216" s="52" t="s">
        <v>37</v>
      </c>
      <c r="I216" s="53">
        <f>SUBTOTAL(9,I7:I215)</f>
        <v>121339566.47999999</v>
      </c>
      <c r="J216" s="53">
        <f>SUBTOTAL(9,J7:J215)</f>
        <v>893628.21</v>
      </c>
      <c r="K216" s="111"/>
      <c r="L216" s="53">
        <f>SUBTOTAL(9,L7:L215)</f>
        <v>-2047500</v>
      </c>
      <c r="P216" s="45"/>
      <c r="Q216" s="1"/>
      <c r="R216" s="1"/>
      <c r="S216" s="1"/>
      <c r="T216" s="53">
        <f t="shared" ref="T216:V216" si="30">SUBTOTAL(9,T7:T215)</f>
        <v>0</v>
      </c>
      <c r="U216" s="53">
        <f t="shared" si="30"/>
        <v>0</v>
      </c>
      <c r="V216" s="53">
        <f t="shared" si="30"/>
        <v>0</v>
      </c>
      <c r="W216" s="1"/>
    </row>
    <row r="217" spans="1:23">
      <c r="H217" s="54" t="s">
        <v>113</v>
      </c>
      <c r="I217" s="55">
        <f>I216-J216</f>
        <v>120445938.27</v>
      </c>
      <c r="T217" s="9"/>
    </row>
    <row r="218" spans="1:23">
      <c r="N218" s="97"/>
      <c r="T218" s="9"/>
    </row>
    <row r="219" spans="1:23">
      <c r="L219" s="8">
        <f>232150-L32-L51-L41-L96-L95</f>
        <v>232150</v>
      </c>
    </row>
    <row r="220" spans="1:23">
      <c r="P220" s="45"/>
      <c r="Q220" s="1"/>
      <c r="R220" s="1"/>
      <c r="S220" s="1"/>
      <c r="U220" s="8"/>
      <c r="V220" s="1"/>
      <c r="W220" s="1"/>
    </row>
    <row r="221" spans="1:23">
      <c r="V221" s="83"/>
    </row>
    <row r="222" spans="1:23">
      <c r="P222" s="45"/>
      <c r="Q222" s="1"/>
      <c r="R222" s="1"/>
      <c r="S222" s="1"/>
      <c r="U222" s="8"/>
      <c r="V222" s="1"/>
      <c r="W222" s="1"/>
    </row>
    <row r="223" spans="1:23">
      <c r="L223" s="8"/>
      <c r="P223" s="45"/>
      <c r="Q223" s="1"/>
      <c r="R223" s="1"/>
      <c r="S223" s="1"/>
      <c r="U223" s="8"/>
      <c r="V223" s="1"/>
      <c r="W223" s="1"/>
    </row>
    <row r="224" spans="1:23">
      <c r="I224" s="8">
        <f>55000+38000</f>
        <v>93000</v>
      </c>
      <c r="L224" s="8"/>
      <c r="T224" s="9"/>
    </row>
    <row r="225" spans="9:23">
      <c r="I225" s="8">
        <v>27000</v>
      </c>
      <c r="L225" s="8"/>
      <c r="T225" s="9"/>
    </row>
    <row r="226" spans="9:23">
      <c r="I226" s="8">
        <f>SUBTOTAL(9,I224:I225)</f>
        <v>120000</v>
      </c>
    </row>
    <row r="227" spans="9:23">
      <c r="P227" s="45"/>
      <c r="Q227" s="1"/>
      <c r="R227" s="1"/>
      <c r="S227" s="1"/>
      <c r="U227" s="8"/>
      <c r="V227" s="1"/>
      <c r="W227" s="1"/>
    </row>
    <row r="231" spans="9:23">
      <c r="L231" s="8"/>
      <c r="P231" s="45"/>
      <c r="Q231" s="1"/>
      <c r="R231" s="1"/>
      <c r="S231" s="1"/>
      <c r="U231" s="8"/>
      <c r="V231" s="1"/>
      <c r="W231" s="1"/>
    </row>
  </sheetData>
  <autoFilter ref="A5:P213">
    <filterColumn colId="2">
      <filters>
        <filter val="TAK"/>
      </filters>
    </filterColumn>
  </autoFilter>
  <sortState ref="D6:J78">
    <sortCondition sortBy="icon" ref="D61"/>
  </sortState>
  <mergeCells count="3">
    <mergeCell ref="D1:L1"/>
    <mergeCell ref="D3:L3"/>
    <mergeCell ref="J4:K4"/>
  </mergeCells>
  <phoneticPr fontId="1" type="noConversion"/>
  <conditionalFormatting sqref="Z138:Z142 T141:T187 L9:L136">
    <cfRule type="cellIs" dxfId="3" priority="24" operator="greaterThan">
      <formula>0</formula>
    </cfRule>
  </conditionalFormatting>
  <conditionalFormatting sqref="Z138:Z140 T141:T187 L9:L136">
    <cfRule type="cellIs" dxfId="2" priority="23" operator="lessThan">
      <formula>0</formula>
    </cfRule>
  </conditionalFormatting>
  <conditionalFormatting sqref="L7:L8">
    <cfRule type="cellIs" dxfId="1" priority="14" operator="greaterThan">
      <formula>0</formula>
    </cfRule>
  </conditionalFormatting>
  <conditionalFormatting sqref="L7:L8">
    <cfRule type="cellIs" dxfId="0" priority="13" operator="lessThan">
      <formula>0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85" fitToHeight="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zoomScale="110" zoomScaleNormal="110" workbookViewId="0">
      <selection activeCell="G19" sqref="G19"/>
    </sheetView>
  </sheetViews>
  <sheetFormatPr defaultRowHeight="12.75"/>
  <cols>
    <col min="1" max="1" width="13.7109375" style="4" customWidth="1"/>
    <col min="2" max="2" width="43" style="4" customWidth="1"/>
    <col min="3" max="3" width="14.5703125" style="4" customWidth="1"/>
    <col min="4" max="4" width="9.42578125" style="1" bestFit="1" customWidth="1"/>
    <col min="5" max="5" width="5.28515625" style="1" customWidth="1"/>
    <col min="6" max="6" width="4.42578125" style="1" bestFit="1" customWidth="1"/>
    <col min="7" max="7" width="3.85546875" style="1" customWidth="1"/>
    <col min="9" max="9" width="16.7109375" style="1" customWidth="1"/>
    <col min="10" max="10" width="15.28515625" style="1" customWidth="1"/>
  </cols>
  <sheetData>
    <row r="1" spans="1:10">
      <c r="A1" s="37"/>
      <c r="B1" s="27" t="s">
        <v>27</v>
      </c>
      <c r="C1" s="28">
        <f>Majątkowe!I135</f>
        <v>40446522.159999996</v>
      </c>
      <c r="I1" s="1" t="s">
        <v>43</v>
      </c>
      <c r="J1" s="1" t="s">
        <v>44</v>
      </c>
    </row>
    <row r="2" spans="1:10">
      <c r="A2" s="37"/>
      <c r="B2" s="27" t="s">
        <v>28</v>
      </c>
      <c r="C2" s="28">
        <f>Majątkowe!I93+Majątkowe!I94</f>
        <v>3670000</v>
      </c>
      <c r="D2" s="1" t="s">
        <v>36</v>
      </c>
      <c r="J2" s="8">
        <f>SUM(J3:J47)</f>
        <v>1778000</v>
      </c>
    </row>
    <row r="3" spans="1:10">
      <c r="A3" s="37"/>
      <c r="B3" s="27" t="s">
        <v>29</v>
      </c>
      <c r="C3" s="28">
        <f>C1-C2</f>
        <v>36776522.159999996</v>
      </c>
      <c r="I3" s="1">
        <v>6170</v>
      </c>
      <c r="J3" s="8">
        <f>SUMIF(Majątkowe!G:G,I3,Majątkowe!I:I)</f>
        <v>80000</v>
      </c>
    </row>
    <row r="4" spans="1:10">
      <c r="A4" s="38" t="s">
        <v>19</v>
      </c>
      <c r="B4" s="27"/>
      <c r="C4" s="28"/>
      <c r="I4" s="1">
        <v>6220</v>
      </c>
      <c r="J4" s="8">
        <f>SUMIF(Majątkowe!G:G,I4,Majątkowe!I:I)</f>
        <v>780000</v>
      </c>
    </row>
    <row r="5" spans="1:10">
      <c r="A5" s="39" t="s">
        <v>20</v>
      </c>
      <c r="B5" s="27" t="s">
        <v>21</v>
      </c>
      <c r="C5" s="28">
        <f>SUMIF(Majątkowe!A:A,G5,Majątkowe!I:I)+SUMIF(Majątkowe!A:A,F5,Majątkowe!I:I)+SUMIF(Majątkowe!A:A,E5,Majątkowe!I:I)</f>
        <v>20203500</v>
      </c>
      <c r="D5" s="41" t="s">
        <v>47</v>
      </c>
      <c r="E5" s="71">
        <v>7</v>
      </c>
      <c r="F5" s="71">
        <v>8</v>
      </c>
      <c r="G5" s="71">
        <v>9</v>
      </c>
      <c r="I5" s="1">
        <v>6300</v>
      </c>
      <c r="J5" s="8">
        <f>SUMIF(Majątkowe!G:G,I5,Majątkowe!I:I)</f>
        <v>538000</v>
      </c>
    </row>
    <row r="6" spans="1:10">
      <c r="A6" s="39"/>
      <c r="B6" s="61" t="s">
        <v>22</v>
      </c>
      <c r="C6" s="60">
        <f>C3</f>
        <v>36776522.159999996</v>
      </c>
      <c r="D6" s="41"/>
      <c r="I6" s="1">
        <v>6309</v>
      </c>
      <c r="J6" s="8">
        <f>SUMIF(Majątkowe!G:G,I6,Majątkowe!I:I)</f>
        <v>0</v>
      </c>
    </row>
    <row r="7" spans="1:10">
      <c r="A7" s="39" t="s">
        <v>23</v>
      </c>
      <c r="B7" s="27" t="s">
        <v>24</v>
      </c>
      <c r="C7" s="29">
        <f>J2</f>
        <v>1778000</v>
      </c>
      <c r="D7" s="41"/>
      <c r="I7" s="1">
        <v>6610</v>
      </c>
      <c r="J7" s="1">
        <f>SUMIF(Majątkowe!G:G,I7,Majątkowe!I:I)</f>
        <v>0</v>
      </c>
    </row>
    <row r="8" spans="1:10">
      <c r="A8" s="39"/>
      <c r="B8" s="61" t="s">
        <v>25</v>
      </c>
      <c r="C8" s="60">
        <f>C6-C7</f>
        <v>34998522.159999996</v>
      </c>
      <c r="I8" s="1">
        <v>6230</v>
      </c>
      <c r="J8" s="1">
        <f>SUMIF(Majątkowe!G:G,I8,Majątkowe!I:I)</f>
        <v>380000</v>
      </c>
    </row>
    <row r="9" spans="1:10">
      <c r="A9" s="39"/>
      <c r="B9" s="27" t="s">
        <v>26</v>
      </c>
      <c r="C9" s="28"/>
    </row>
    <row r="10" spans="1:10">
      <c r="A10" s="39">
        <v>11.4</v>
      </c>
      <c r="B10" s="27" t="s">
        <v>68</v>
      </c>
      <c r="C10" s="28">
        <f>Majątkowe!I11+Majątkowe!I30+Majątkowe!I39+Majątkowe!I41+Majątkowe!I42+Majątkowe!I43+Majątkowe!I44+Majątkowe!I45+Majątkowe!I51+Majątkowe!I53+Majątkowe!I55+Majątkowe!I56+Majątkowe!I57+Majątkowe!I59+Majątkowe!I64+Majątkowe!I67+Majątkowe!I70+Majątkowe!I71+Majątkowe!I72+Majątkowe!I77+Majątkowe!I81+Majątkowe!I95+Majątkowe!I98+Majątkowe!I99+Majątkowe!I117+Majątkowe!I118+Majątkowe!I121+Majątkowe!I122+Majątkowe!I32+Majątkowe!I39+Majątkowe!I54+Majątkowe!I16</f>
        <v>25453376.16</v>
      </c>
    </row>
    <row r="11" spans="1:10">
      <c r="A11" s="39">
        <v>11.5</v>
      </c>
      <c r="B11" s="27" t="s">
        <v>69</v>
      </c>
      <c r="C11" s="28">
        <f>C8-C10</f>
        <v>9545145.9999999963</v>
      </c>
      <c r="D11" s="2"/>
      <c r="E11" s="13"/>
      <c r="F11" s="13"/>
      <c r="G11" s="13"/>
      <c r="H11" s="2"/>
      <c r="I11" s="13"/>
      <c r="J11" s="13"/>
    </row>
    <row r="12" spans="1:10">
      <c r="A12" s="26"/>
      <c r="C12" s="13"/>
      <c r="D12" s="2"/>
      <c r="E12" s="2"/>
      <c r="F12" s="2"/>
      <c r="G12" s="2"/>
      <c r="H12" s="2"/>
      <c r="I12" s="2"/>
      <c r="J12" s="2"/>
    </row>
    <row r="13" spans="1:10">
      <c r="A13" s="26"/>
      <c r="B13" s="13"/>
      <c r="C13" s="13"/>
      <c r="D13" s="2"/>
      <c r="E13" s="2"/>
      <c r="F13" s="2"/>
      <c r="G13" s="2"/>
      <c r="H13" s="2"/>
      <c r="I13" s="2"/>
      <c r="J13" s="2"/>
    </row>
    <row r="14" spans="1:10">
      <c r="A14" s="26"/>
      <c r="C14" s="13"/>
      <c r="D14" s="2"/>
      <c r="E14" s="2"/>
      <c r="F14" s="2"/>
      <c r="G14" s="2"/>
      <c r="H14" s="2"/>
      <c r="I14" s="2"/>
      <c r="J14" s="2"/>
    </row>
    <row r="15" spans="1:10">
      <c r="A15" s="26"/>
      <c r="C15" s="13"/>
      <c r="D15" s="2"/>
      <c r="E15" s="2"/>
      <c r="F15" s="2"/>
      <c r="G15" s="2"/>
      <c r="H15" s="2"/>
      <c r="I15" s="2"/>
      <c r="J15" s="2"/>
    </row>
    <row r="16" spans="1:10">
      <c r="A16" s="26"/>
      <c r="C16" s="13"/>
      <c r="D16" s="2"/>
      <c r="E16" s="2"/>
      <c r="F16" s="2"/>
      <c r="G16" s="2"/>
      <c r="H16" s="2"/>
      <c r="I16" s="2"/>
      <c r="J16" s="2"/>
    </row>
    <row r="17" spans="1:10">
      <c r="A17" s="26"/>
      <c r="C17" s="13"/>
      <c r="D17" s="2"/>
      <c r="E17" s="2"/>
      <c r="F17" s="2"/>
      <c r="G17" s="2"/>
      <c r="H17" s="2"/>
      <c r="I17" s="2"/>
      <c r="J17" s="2"/>
    </row>
    <row r="18" spans="1:10">
      <c r="A18" s="26"/>
      <c r="B18" s="66"/>
      <c r="C18" s="67">
        <f>SUM(C19:C22)</f>
        <v>40446522.159999996</v>
      </c>
      <c r="D18" s="2"/>
      <c r="E18" s="2"/>
      <c r="F18" s="2"/>
      <c r="G18" s="2"/>
      <c r="H18" s="2"/>
      <c r="I18" s="2"/>
      <c r="J18" s="2"/>
    </row>
    <row r="19" spans="1:10">
      <c r="A19" s="26"/>
      <c r="B19" s="66" t="s">
        <v>151</v>
      </c>
      <c r="C19" s="67">
        <f>Majątkowe!I22</f>
        <v>1006811.16</v>
      </c>
      <c r="D19" s="2"/>
      <c r="E19" s="2"/>
      <c r="F19" s="2"/>
      <c r="G19" s="2"/>
      <c r="H19" s="2"/>
      <c r="I19" s="2"/>
      <c r="J19" s="2"/>
    </row>
    <row r="20" spans="1:10">
      <c r="A20" s="26"/>
      <c r="B20" s="66" t="s">
        <v>152</v>
      </c>
      <c r="C20" s="67">
        <f>Majątkowe!I66</f>
        <v>16096311</v>
      </c>
      <c r="D20" s="2"/>
      <c r="E20" s="2"/>
      <c r="F20" s="2"/>
      <c r="G20" s="2"/>
      <c r="H20" s="2"/>
      <c r="I20" s="2"/>
      <c r="J20" s="2"/>
    </row>
    <row r="21" spans="1:10">
      <c r="A21" s="26"/>
      <c r="B21" s="66" t="s">
        <v>153</v>
      </c>
      <c r="C21" s="67">
        <f>Majątkowe!I69+Majątkowe!I73+Majątkowe!I82+Majątkowe!I88+Majątkowe!I90</f>
        <v>3250700</v>
      </c>
      <c r="D21" s="2"/>
      <c r="E21" s="2"/>
      <c r="F21" s="2"/>
      <c r="G21" s="2"/>
      <c r="H21" s="2"/>
      <c r="I21" s="2"/>
      <c r="J21" s="2"/>
    </row>
    <row r="22" spans="1:10">
      <c r="A22" s="26"/>
      <c r="B22" s="66" t="s">
        <v>154</v>
      </c>
      <c r="C22" s="67">
        <f>Majątkowe!I119+Majątkowe!I125+Majątkowe!I134</f>
        <v>20092700</v>
      </c>
      <c r="D22" s="2"/>
      <c r="E22" s="2"/>
      <c r="F22" s="2"/>
      <c r="G22" s="2"/>
      <c r="H22" s="2"/>
      <c r="I22" s="2"/>
      <c r="J22" s="2"/>
    </row>
    <row r="23" spans="1:10">
      <c r="A23" s="26"/>
      <c r="C23" s="13"/>
      <c r="D23" s="2"/>
      <c r="E23" s="2"/>
      <c r="F23" s="2"/>
      <c r="G23" s="2"/>
      <c r="H23" s="2"/>
      <c r="I23" s="2"/>
      <c r="J23" s="2"/>
    </row>
    <row r="24" spans="1:10">
      <c r="C24" s="5"/>
      <c r="D24" s="2"/>
      <c r="E24" s="2"/>
      <c r="F24" s="2"/>
      <c r="G24" s="2"/>
      <c r="H24" s="2"/>
      <c r="I24" s="2"/>
      <c r="J24" s="2"/>
    </row>
    <row r="25" spans="1:10">
      <c r="C25" s="5"/>
      <c r="D25" s="2"/>
      <c r="E25" s="2"/>
      <c r="F25" s="2"/>
      <c r="G25" s="2"/>
      <c r="H25" s="2"/>
      <c r="I25" s="2">
        <v>95</v>
      </c>
      <c r="J25" s="2"/>
    </row>
    <row r="26" spans="1:10">
      <c r="D26" s="2"/>
      <c r="E26" s="2"/>
      <c r="F26" s="2"/>
      <c r="G26" s="2"/>
      <c r="H26" s="2"/>
      <c r="I26" s="2">
        <v>90</v>
      </c>
      <c r="J26" s="2"/>
    </row>
    <row r="27" spans="1:10">
      <c r="D27" s="2"/>
      <c r="E27" s="2"/>
      <c r="F27" s="2"/>
      <c r="G27" s="2"/>
      <c r="H27" s="2"/>
      <c r="I27" s="2">
        <v>95</v>
      </c>
      <c r="J27" s="2"/>
    </row>
    <row r="28" spans="1:10">
      <c r="D28" s="2"/>
      <c r="E28" s="2"/>
      <c r="F28" s="2"/>
      <c r="G28" s="2"/>
      <c r="H28" s="2"/>
      <c r="I28" s="2">
        <v>45</v>
      </c>
      <c r="J28" s="2"/>
    </row>
    <row r="29" spans="1:10">
      <c r="D29" s="2"/>
      <c r="E29" s="2"/>
      <c r="F29" s="2"/>
      <c r="G29" s="2"/>
      <c r="H29" s="2"/>
      <c r="I29" s="2">
        <v>45</v>
      </c>
      <c r="J29" s="2"/>
    </row>
    <row r="30" spans="1:10">
      <c r="D30" s="2"/>
      <c r="E30" s="2"/>
      <c r="F30" s="2"/>
      <c r="G30" s="2"/>
      <c r="H30" s="2"/>
      <c r="I30" s="2">
        <v>90</v>
      </c>
      <c r="J30" s="2"/>
    </row>
    <row r="31" spans="1:10">
      <c r="D31" s="2"/>
      <c r="E31" s="2"/>
      <c r="F31" s="2"/>
      <c r="G31" s="2"/>
      <c r="H31" s="2"/>
      <c r="I31" s="2">
        <f>SUM(I25:I30)</f>
        <v>460</v>
      </c>
      <c r="J31" s="2"/>
    </row>
    <row r="32" spans="1:10">
      <c r="D32" s="2"/>
      <c r="E32" s="2"/>
      <c r="F32" s="2"/>
      <c r="G32" s="2"/>
      <c r="H32" s="2"/>
      <c r="I32" s="2"/>
      <c r="J32" s="2"/>
    </row>
    <row r="47" spans="2:2">
      <c r="B47" s="67"/>
    </row>
    <row r="48" spans="2:2">
      <c r="B48" s="67"/>
    </row>
    <row r="49" spans="1:3">
      <c r="B49" s="67"/>
    </row>
    <row r="50" spans="1:3">
      <c r="B50" s="67"/>
    </row>
    <row r="51" spans="1:3">
      <c r="B51" s="13"/>
    </row>
    <row r="53" spans="1:3">
      <c r="B53" s="66"/>
    </row>
    <row r="54" spans="1:3">
      <c r="B54" s="67"/>
    </row>
    <row r="55" spans="1:3">
      <c r="B55" s="67"/>
      <c r="C55" s="13"/>
    </row>
    <row r="56" spans="1:3">
      <c r="B56" s="66"/>
    </row>
    <row r="57" spans="1:3">
      <c r="B57" s="13"/>
    </row>
    <row r="58" spans="1:3">
      <c r="A58" s="13"/>
      <c r="B58" s="66"/>
    </row>
    <row r="59" spans="1:3">
      <c r="A59" s="13"/>
    </row>
    <row r="60" spans="1:3">
      <c r="B60" s="13"/>
    </row>
    <row r="61" spans="1:3">
      <c r="B61" s="67"/>
      <c r="C61" s="13"/>
    </row>
    <row r="62" spans="1:3">
      <c r="B62" s="66"/>
      <c r="C62" s="13"/>
    </row>
    <row r="63" spans="1:3">
      <c r="B63" s="67"/>
      <c r="C63" s="13"/>
    </row>
    <row r="64" spans="1:3">
      <c r="B64" s="13"/>
      <c r="C64" s="13"/>
    </row>
    <row r="65" spans="2:4">
      <c r="C65" s="13"/>
    </row>
    <row r="67" spans="2:4">
      <c r="B67" s="13"/>
    </row>
    <row r="68" spans="2:4">
      <c r="B68" s="13"/>
    </row>
    <row r="69" spans="2:4">
      <c r="B69" s="13"/>
    </row>
    <row r="70" spans="2:4">
      <c r="B70" s="13"/>
      <c r="C70" s="13"/>
    </row>
    <row r="71" spans="2:4">
      <c r="B71" s="13"/>
      <c r="C71" s="13"/>
    </row>
    <row r="73" spans="2:4">
      <c r="D73" s="8"/>
    </row>
    <row r="76" spans="2:4">
      <c r="B76" s="13"/>
    </row>
    <row r="77" spans="2:4">
      <c r="B77" s="66"/>
    </row>
    <row r="78" spans="2:4">
      <c r="B78" s="66"/>
    </row>
    <row r="79" spans="2:4">
      <c r="B79" s="66"/>
    </row>
    <row r="83" spans="2:10">
      <c r="J83" s="8"/>
    </row>
    <row r="84" spans="2:10">
      <c r="J84" s="8"/>
    </row>
    <row r="85" spans="2:10">
      <c r="B85" s="13"/>
    </row>
    <row r="86" spans="2:10">
      <c r="B86" s="13"/>
    </row>
    <row r="87" spans="2:10">
      <c r="B87" s="13"/>
    </row>
    <row r="88" spans="2:10">
      <c r="B88" s="13"/>
    </row>
    <row r="89" spans="2:10">
      <c r="B89" s="13"/>
      <c r="C89" s="13"/>
    </row>
    <row r="93" spans="2:10">
      <c r="B93" s="66"/>
    </row>
    <row r="94" spans="2:10">
      <c r="B94" s="13"/>
    </row>
    <row r="95" spans="2:10">
      <c r="B95" s="13"/>
    </row>
    <row r="96" spans="2:10">
      <c r="B96" s="13"/>
    </row>
    <row r="97" spans="2:10">
      <c r="B97" s="13"/>
    </row>
    <row r="101" spans="2:10">
      <c r="D101" s="8"/>
    </row>
    <row r="102" spans="2:10">
      <c r="D102" s="8"/>
    </row>
    <row r="103" spans="2:10">
      <c r="J103" s="8"/>
    </row>
    <row r="104" spans="2:10">
      <c r="B104" s="67"/>
      <c r="J104" s="8"/>
    </row>
    <row r="106" spans="2:10">
      <c r="B106" s="13"/>
    </row>
    <row r="107" spans="2:10">
      <c r="J107" s="8"/>
    </row>
    <row r="113" spans="3:8">
      <c r="H113" s="1"/>
    </row>
    <row r="114" spans="3:8">
      <c r="H114" s="1"/>
    </row>
    <row r="115" spans="3:8">
      <c r="H115" s="1"/>
    </row>
    <row r="116" spans="3:8">
      <c r="H116" s="1"/>
    </row>
    <row r="117" spans="3:8">
      <c r="H117" s="1"/>
    </row>
    <row r="118" spans="3:8">
      <c r="H118" s="1"/>
    </row>
    <row r="119" spans="3:8">
      <c r="C119" s="13"/>
      <c r="H119" s="1"/>
    </row>
    <row r="120" spans="3:8">
      <c r="H120" s="1"/>
    </row>
    <row r="121" spans="3:8">
      <c r="H121" s="1"/>
    </row>
    <row r="122" spans="3:8">
      <c r="H122" s="1"/>
    </row>
    <row r="123" spans="3:8">
      <c r="H123" s="1"/>
    </row>
    <row r="124" spans="3:8">
      <c r="H124" s="1"/>
    </row>
    <row r="125" spans="3:8">
      <c r="H125" s="1"/>
    </row>
    <row r="126" spans="3:8">
      <c r="C126" s="13"/>
      <c r="H126" s="1"/>
    </row>
    <row r="127" spans="3:8">
      <c r="C127" s="13"/>
      <c r="H127" s="1"/>
    </row>
    <row r="128" spans="3:8">
      <c r="H128" s="1"/>
    </row>
    <row r="129" spans="2:10">
      <c r="H129" s="1"/>
    </row>
    <row r="130" spans="2:10">
      <c r="B130" s="13"/>
      <c r="C130" s="13"/>
      <c r="H130" s="1"/>
    </row>
    <row r="131" spans="2:10">
      <c r="C131" s="13"/>
      <c r="H131" s="1"/>
    </row>
    <row r="132" spans="2:10">
      <c r="H132" s="1"/>
    </row>
    <row r="133" spans="2:10">
      <c r="E133" s="13"/>
      <c r="F133" s="13"/>
      <c r="G133" s="13"/>
      <c r="H133" s="1"/>
      <c r="I133" s="13"/>
      <c r="J133" s="13"/>
    </row>
    <row r="134" spans="2:10">
      <c r="E134" s="13"/>
      <c r="F134" s="13"/>
      <c r="G134" s="13"/>
      <c r="H134" s="1"/>
      <c r="I134" s="13"/>
      <c r="J134" s="13"/>
    </row>
    <row r="135" spans="2:10">
      <c r="E135" s="13"/>
      <c r="F135" s="13"/>
      <c r="G135" s="13"/>
      <c r="H135" s="1"/>
      <c r="I135" s="13"/>
      <c r="J135" s="13"/>
    </row>
    <row r="136" spans="2:10">
      <c r="E136" s="13"/>
      <c r="F136" s="13"/>
      <c r="G136" s="13"/>
      <c r="H136" s="1"/>
      <c r="I136" s="13"/>
      <c r="J136" s="13"/>
    </row>
    <row r="137" spans="2:10">
      <c r="H137" s="1"/>
      <c r="I137" s="42"/>
    </row>
    <row r="138" spans="2:10" ht="15">
      <c r="E138" s="36"/>
      <c r="F138" s="36"/>
      <c r="H138" s="1"/>
    </row>
    <row r="139" spans="2:10" ht="15">
      <c r="E139" s="36"/>
      <c r="F139" s="36"/>
      <c r="H139" s="1"/>
    </row>
    <row r="140" spans="2:10" ht="15">
      <c r="E140" s="36"/>
      <c r="F140" s="36"/>
      <c r="H140" s="1"/>
    </row>
    <row r="141" spans="2:10" ht="15">
      <c r="E141" s="36"/>
      <c r="F141" s="36"/>
      <c r="H141" s="1"/>
    </row>
    <row r="142" spans="2:10" ht="15">
      <c r="E142" s="36"/>
      <c r="F142" s="36"/>
      <c r="H142" s="1"/>
    </row>
    <row r="143" spans="2:10" ht="15">
      <c r="B143" s="67"/>
      <c r="E143" s="36"/>
      <c r="F143" s="36"/>
      <c r="H143" s="1"/>
    </row>
    <row r="144" spans="2:10" ht="15">
      <c r="B144" s="67"/>
      <c r="C144" s="13"/>
      <c r="E144" s="36"/>
      <c r="F144" s="36"/>
      <c r="H144" s="1"/>
    </row>
    <row r="145" spans="2:10" ht="15">
      <c r="B145" s="67"/>
      <c r="C145" s="13"/>
      <c r="E145" s="36"/>
      <c r="F145" s="36"/>
      <c r="H145" s="1"/>
    </row>
    <row r="146" spans="2:10" ht="15">
      <c r="B146" s="66"/>
      <c r="C146" s="13"/>
      <c r="E146" s="36"/>
      <c r="F146" s="36"/>
      <c r="H146" s="1"/>
    </row>
    <row r="147" spans="2:10" ht="15">
      <c r="E147" s="36"/>
      <c r="F147" s="36"/>
      <c r="H147" s="1"/>
    </row>
    <row r="148" spans="2:10" ht="15">
      <c r="B148" s="13"/>
      <c r="E148" s="36"/>
      <c r="F148" s="36"/>
      <c r="H148" s="1"/>
    </row>
    <row r="149" spans="2:10" ht="15">
      <c r="E149" s="36"/>
      <c r="F149" s="36"/>
      <c r="H149" s="1"/>
    </row>
    <row r="150" spans="2:10" ht="15">
      <c r="E150" s="36"/>
      <c r="F150" s="36"/>
      <c r="H150" s="1"/>
    </row>
    <row r="151" spans="2:10" ht="15">
      <c r="E151" s="36"/>
      <c r="F151" s="36"/>
      <c r="H151" s="1"/>
    </row>
    <row r="152" spans="2:10" ht="15">
      <c r="B152" s="13"/>
      <c r="E152" s="36"/>
      <c r="F152" s="36"/>
      <c r="H152" s="1"/>
    </row>
    <row r="153" spans="2:10" ht="15">
      <c r="E153" s="36"/>
      <c r="F153" s="36"/>
      <c r="H153" s="1"/>
    </row>
    <row r="154" spans="2:10" ht="15">
      <c r="E154" s="36"/>
      <c r="F154" s="36"/>
      <c r="H154" s="1"/>
    </row>
    <row r="155" spans="2:10">
      <c r="B155" s="13"/>
      <c r="E155" s="13"/>
      <c r="F155" s="13"/>
      <c r="G155" s="13"/>
      <c r="H155" s="1"/>
      <c r="I155" s="13"/>
      <c r="J155" s="13"/>
    </row>
    <row r="156" spans="2:10" ht="15">
      <c r="E156" s="36"/>
      <c r="F156" s="36"/>
      <c r="H156" s="1"/>
      <c r="I156" s="8"/>
      <c r="J156" s="8"/>
    </row>
    <row r="157" spans="2:10" ht="15">
      <c r="E157" s="44"/>
      <c r="F157" s="44"/>
      <c r="H157" s="1"/>
      <c r="I157" s="8"/>
      <c r="J157" s="8"/>
    </row>
    <row r="158" spans="2:10" ht="15">
      <c r="B158" s="13"/>
      <c r="E158" s="36"/>
      <c r="F158" s="36"/>
      <c r="H158" s="1"/>
      <c r="I158" s="8"/>
      <c r="J158" s="8"/>
    </row>
    <row r="159" spans="2:10" ht="15">
      <c r="E159" s="36"/>
      <c r="F159" s="36"/>
      <c r="H159" s="1"/>
      <c r="I159" s="8"/>
      <c r="J159" s="8"/>
    </row>
    <row r="160" spans="2:10" ht="15">
      <c r="E160" s="36"/>
      <c r="F160" s="36"/>
      <c r="H160" s="1"/>
      <c r="I160" s="8"/>
      <c r="J160" s="8"/>
    </row>
    <row r="161" spans="8:10">
      <c r="H161" s="1"/>
      <c r="I161" s="8"/>
      <c r="J161" s="8"/>
    </row>
    <row r="162" spans="8:10">
      <c r="H162" s="1"/>
      <c r="I162" s="8"/>
      <c r="J162" s="8"/>
    </row>
    <row r="163" spans="8:10">
      <c r="H163" s="1"/>
      <c r="I163" s="8"/>
      <c r="J163" s="8"/>
    </row>
    <row r="164" spans="8:10">
      <c r="H164" s="1"/>
      <c r="I164" s="8"/>
      <c r="J164" s="8"/>
    </row>
    <row r="165" spans="8:10">
      <c r="H165" s="1"/>
      <c r="I165" s="8"/>
      <c r="J165" s="8"/>
    </row>
    <row r="166" spans="8:10">
      <c r="H166" s="1"/>
      <c r="I166" s="8"/>
      <c r="J166" s="8"/>
    </row>
    <row r="167" spans="8:10">
      <c r="H167" s="1"/>
      <c r="I167" s="8"/>
      <c r="J167" s="8"/>
    </row>
    <row r="168" spans="8:10">
      <c r="H168" s="1"/>
    </row>
    <row r="169" spans="8:10">
      <c r="H169" s="1"/>
    </row>
    <row r="170" spans="8:10">
      <c r="H170" s="1"/>
    </row>
    <row r="171" spans="8:10">
      <c r="H171" s="1"/>
    </row>
    <row r="172" spans="8:10">
      <c r="H172" s="1"/>
    </row>
    <row r="173" spans="8:10">
      <c r="H173" s="1"/>
    </row>
    <row r="174" spans="8:10">
      <c r="H174" s="1"/>
    </row>
    <row r="175" spans="8:10">
      <c r="H175" s="1"/>
    </row>
    <row r="176" spans="8:10">
      <c r="H176" s="1"/>
    </row>
    <row r="177" spans="8:8">
      <c r="H177" s="1"/>
    </row>
    <row r="178" spans="8:8">
      <c r="H178" s="1"/>
    </row>
    <row r="179" spans="8:8">
      <c r="H179" s="1"/>
    </row>
    <row r="180" spans="8:8">
      <c r="H180" s="1"/>
    </row>
    <row r="181" spans="8:8">
      <c r="H181" s="1"/>
    </row>
    <row r="182" spans="8:8">
      <c r="H182" s="1"/>
    </row>
    <row r="183" spans="8:8">
      <c r="H183" s="1"/>
    </row>
    <row r="184" spans="8:8">
      <c r="H184" s="1"/>
    </row>
    <row r="185" spans="8:8">
      <c r="H185" s="1"/>
    </row>
    <row r="186" spans="8:8">
      <c r="H186" s="1"/>
    </row>
    <row r="187" spans="8:8">
      <c r="H187" s="1"/>
    </row>
    <row r="188" spans="8:8">
      <c r="H188" s="1"/>
    </row>
    <row r="189" spans="8:8">
      <c r="H189" s="1"/>
    </row>
    <row r="190" spans="8:8">
      <c r="H190" s="1"/>
    </row>
    <row r="191" spans="8:8">
      <c r="H191" s="1"/>
    </row>
    <row r="192" spans="8:8">
      <c r="H192" s="1"/>
    </row>
    <row r="193" spans="8:8">
      <c r="H193" s="1"/>
    </row>
    <row r="194" spans="8:8">
      <c r="H194" s="1"/>
    </row>
    <row r="195" spans="8:8">
      <c r="H195" s="1"/>
    </row>
    <row r="196" spans="8:8">
      <c r="H196" s="1"/>
    </row>
    <row r="197" spans="8:8">
      <c r="H197" s="1"/>
    </row>
    <row r="198" spans="8:8">
      <c r="H198" s="1"/>
    </row>
    <row r="199" spans="8:8">
      <c r="H199" s="1"/>
    </row>
    <row r="200" spans="8:8">
      <c r="H200" s="1"/>
    </row>
    <row r="201" spans="8:8">
      <c r="H201" s="1"/>
    </row>
    <row r="202" spans="8:8">
      <c r="H202" s="1"/>
    </row>
    <row r="203" spans="8:8">
      <c r="H203" s="1"/>
    </row>
    <row r="204" spans="8:8">
      <c r="H204" s="1"/>
    </row>
    <row r="205" spans="8:8">
      <c r="H205" s="1"/>
    </row>
    <row r="206" spans="8:8">
      <c r="H206" s="1"/>
    </row>
    <row r="207" spans="8:8">
      <c r="H207" s="1"/>
    </row>
    <row r="208" spans="8:8">
      <c r="H208" s="1"/>
    </row>
    <row r="209" spans="8:8">
      <c r="H209" s="1"/>
    </row>
    <row r="210" spans="8:8">
      <c r="H210" s="1"/>
    </row>
    <row r="211" spans="8:8">
      <c r="H211" s="1"/>
    </row>
    <row r="212" spans="8:8">
      <c r="H212" s="1"/>
    </row>
    <row r="213" spans="8:8">
      <c r="H213" s="1"/>
    </row>
    <row r="214" spans="8:8">
      <c r="H214" s="1"/>
    </row>
    <row r="215" spans="8:8">
      <c r="H215" s="1"/>
    </row>
    <row r="216" spans="8:8">
      <c r="H216" s="1"/>
    </row>
    <row r="217" spans="8:8">
      <c r="H217" s="1"/>
    </row>
    <row r="218" spans="8:8">
      <c r="H218" s="1"/>
    </row>
    <row r="219" spans="8:8">
      <c r="H219" s="1"/>
    </row>
    <row r="220" spans="8:8">
      <c r="H220" s="1"/>
    </row>
    <row r="221" spans="8:8">
      <c r="H221" s="1"/>
    </row>
    <row r="222" spans="8:8">
      <c r="H222" s="1"/>
    </row>
    <row r="223" spans="8:8">
      <c r="H223" s="1"/>
    </row>
    <row r="224" spans="8:8">
      <c r="H224" s="1"/>
    </row>
    <row r="225" spans="1:10">
      <c r="H225" s="1"/>
    </row>
    <row r="226" spans="1:10">
      <c r="H226" s="1"/>
    </row>
    <row r="227" spans="1:10">
      <c r="H227" s="1"/>
    </row>
    <row r="228" spans="1:10">
      <c r="H228" s="1"/>
    </row>
    <row r="229" spans="1:10">
      <c r="H229" s="1"/>
    </row>
    <row r="230" spans="1:10">
      <c r="H230" s="1"/>
      <c r="J230" s="8"/>
    </row>
    <row r="231" spans="1:10">
      <c r="H231" s="1"/>
      <c r="J231" s="8"/>
    </row>
    <row r="232" spans="1:10">
      <c r="H232" s="1"/>
      <c r="J232" s="8"/>
    </row>
    <row r="233" spans="1:10">
      <c r="H233" s="1"/>
      <c r="J233" s="8"/>
    </row>
    <row r="234" spans="1:10">
      <c r="H234" s="1"/>
    </row>
    <row r="235" spans="1:10">
      <c r="H235" s="1"/>
    </row>
    <row r="236" spans="1:10">
      <c r="H236" s="1"/>
    </row>
    <row r="237" spans="1:10">
      <c r="H237" s="1"/>
    </row>
    <row r="238" spans="1:10">
      <c r="H238" s="1"/>
    </row>
    <row r="240" spans="1:10">
      <c r="A240" s="59"/>
      <c r="H240" s="1"/>
    </row>
    <row r="241" spans="8:8">
      <c r="H241" s="1"/>
    </row>
    <row r="245" spans="8:8">
      <c r="H245" s="1"/>
    </row>
    <row r="247" spans="8:8">
      <c r="H247" s="1"/>
    </row>
    <row r="248" spans="8:8">
      <c r="H248" s="1"/>
    </row>
    <row r="252" spans="8:8">
      <c r="H252" s="1"/>
    </row>
    <row r="256" spans="8:8">
      <c r="H25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Majątkowe</vt:lpstr>
      <vt:lpstr>Analizy WPF</vt:lpstr>
      <vt:lpstr>Majątkowe!Obszar_wydruku</vt:lpstr>
      <vt:lpstr>Majątkowe!Tytuły_wydruku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ewojcieszkiewicz</cp:lastModifiedBy>
  <cp:lastPrinted>2019-11-06T14:01:46Z</cp:lastPrinted>
  <dcterms:created xsi:type="dcterms:W3CDTF">1998-12-09T13:02:10Z</dcterms:created>
  <dcterms:modified xsi:type="dcterms:W3CDTF">2019-11-07T09:40:26Z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-1137880236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